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O\Desktop\SIMULATEURS\"/>
    </mc:Choice>
  </mc:AlternateContent>
  <xr:revisionPtr revIDLastSave="0" documentId="13_ncr:1_{A7625ED8-1412-4860-B7CD-C875DCA23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TEUR" sheetId="1" r:id="rId1"/>
    <sheet name="POINTS RETRAIT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P10" i="1" s="1"/>
  <c r="M10" i="1"/>
  <c r="M8" i="1"/>
  <c r="J8" i="1"/>
  <c r="J10" i="1" s="1"/>
  <c r="J25" i="1"/>
  <c r="F29" i="1"/>
  <c r="A25" i="1" l="1"/>
  <c r="I17" i="1"/>
  <c r="J17" i="1"/>
  <c r="P18" i="1"/>
  <c r="A26" i="1"/>
  <c r="O17" i="1" s="1"/>
  <c r="A23" i="1"/>
  <c r="A24" i="1"/>
  <c r="I19" i="1"/>
  <c r="O19" i="1"/>
  <c r="P19" i="1"/>
  <c r="P22" i="1"/>
  <c r="P20" i="1"/>
  <c r="P21" i="1"/>
  <c r="J18" i="1"/>
  <c r="R11" i="1"/>
  <c r="S9" i="1"/>
  <c r="M23" i="1"/>
  <c r="J11" i="4"/>
  <c r="X27" i="1"/>
  <c r="O20" i="4" s="1"/>
  <c r="P25" i="1"/>
  <c r="M2" i="1"/>
  <c r="X8" i="1"/>
  <c r="W22" i="1"/>
  <c r="X21" i="1"/>
  <c r="J21" i="1" l="1"/>
  <c r="J22" i="1"/>
  <c r="J20" i="1"/>
  <c r="J17" i="4"/>
  <c r="J33" i="4" s="1"/>
  <c r="O23" i="4"/>
  <c r="O40" i="4" s="1"/>
  <c r="J14" i="4"/>
  <c r="J20" i="4"/>
  <c r="J47" i="4" s="1"/>
  <c r="P24" i="1"/>
  <c r="J32" i="4" l="1"/>
  <c r="J35" i="4" s="1"/>
  <c r="J23" i="4"/>
  <c r="J40" i="4"/>
  <c r="J44" i="4" s="1"/>
  <c r="O18" i="1"/>
  <c r="X10" i="1" l="1"/>
  <c r="R10" i="1"/>
  <c r="R8" i="1"/>
  <c r="R2" i="1"/>
  <c r="X20" i="1"/>
  <c r="O11" i="4"/>
  <c r="E14" i="4"/>
  <c r="Z11" i="4"/>
  <c r="D15" i="1"/>
  <c r="Z3" i="4" l="1"/>
  <c r="AA3" i="4"/>
  <c r="AA10" i="4" s="1"/>
  <c r="E11" i="4"/>
  <c r="O17" i="4"/>
  <c r="O47" i="4" s="1"/>
  <c r="P17" i="1"/>
  <c r="P27" i="1" s="1"/>
  <c r="O44" i="4" l="1"/>
  <c r="O32" i="4"/>
  <c r="O33" i="4"/>
  <c r="I18" i="1"/>
  <c r="E20" i="4"/>
  <c r="E47" i="4" s="1"/>
  <c r="J24" i="1"/>
  <c r="E17" i="4"/>
  <c r="E32" i="4" s="1"/>
  <c r="J19" i="1"/>
  <c r="Z4" i="4"/>
  <c r="Z8" i="4" s="1"/>
  <c r="O14" i="4"/>
  <c r="AA5" i="4"/>
  <c r="AA4" i="4"/>
  <c r="AA8" i="4" s="1"/>
  <c r="J27" i="1" l="1"/>
  <c r="O35" i="4"/>
  <c r="E23" i="4"/>
  <c r="E40" i="4"/>
  <c r="E44" i="4" s="1"/>
  <c r="E33" i="4"/>
  <c r="Z7" i="4"/>
  <c r="AA7" i="4"/>
  <c r="Z10" i="4"/>
  <c r="Z5" i="4"/>
  <c r="E35" i="4" l="1"/>
</calcChain>
</file>

<file path=xl/sharedStrings.xml><?xml version="1.0" encoding="utf-8"?>
<sst xmlns="http://schemas.openxmlformats.org/spreadsheetml/2006/main" count="104" uniqueCount="57">
  <si>
    <t>URSSAF</t>
  </si>
  <si>
    <t>TOTAL</t>
  </si>
  <si>
    <t>CFP</t>
  </si>
  <si>
    <t>forfait</t>
  </si>
  <si>
    <t>A RENSEIGNER</t>
  </si>
  <si>
    <t>→ Allocations familiales</t>
  </si>
  <si>
    <t>●</t>
  </si>
  <si>
    <t>→ CFP (formation)</t>
  </si>
  <si>
    <t>RECETTES</t>
  </si>
  <si>
    <t>RETRAITE</t>
  </si>
  <si>
    <t>MALADIE</t>
  </si>
  <si>
    <t>AF</t>
  </si>
  <si>
    <t>CSG/CRDS</t>
  </si>
  <si>
    <t>CA</t>
  </si>
  <si>
    <t>BENEF</t>
  </si>
  <si>
    <t>regime de base</t>
  </si>
  <si>
    <t>tranche 1</t>
  </si>
  <si>
    <t>tranche 2</t>
  </si>
  <si>
    <t>cotis retraite total</t>
  </si>
  <si>
    <t>Réduction complémentaire ?</t>
  </si>
  <si>
    <t>Régime complémentaire</t>
  </si>
  <si>
    <t>Pas de réduction possible</t>
  </si>
  <si>
    <t>Chiffre d'affaires</t>
  </si>
  <si>
    <t>Bénéfice imposable</t>
  </si>
  <si>
    <t>Estimation des frais</t>
  </si>
  <si>
    <t>Abattement 34 %</t>
  </si>
  <si>
    <t>RETRAITE DE BASE</t>
  </si>
  <si>
    <t>→ TRANCHE 1</t>
  </si>
  <si>
    <t>→ TRANCHE 2</t>
  </si>
  <si>
    <t>COMPLÉMENTAIRE</t>
  </si>
  <si>
    <t>→ Nombre de points</t>
  </si>
  <si>
    <t>Valorisation régime de base en €</t>
  </si>
  <si>
    <t>Valorisation régime complémentaire en €</t>
  </si>
  <si>
    <t>IND. JOUR.</t>
  </si>
  <si>
    <t>→ Maladie 1(Maternité)</t>
  </si>
  <si>
    <t>→ Maladie 2 (Ind. Journ.)</t>
  </si>
  <si>
    <t>→ Retraite de Base</t>
  </si>
  <si>
    <t>→ Retraite complémentaire</t>
  </si>
  <si>
    <t>FRAIS REELS</t>
  </si>
  <si>
    <t>→ Maladie 1 (Maternité)</t>
  </si>
  <si>
    <t>→ CSG/CRDS</t>
  </si>
  <si>
    <t>Pourcentage des frais professionnels constatés dans votre tranche de revenus d'après nos statistiques professionnelles nationales</t>
  </si>
  <si>
    <t>Total des frais pro estimés (en pourcentage des recettes)</t>
  </si>
  <si>
    <r>
      <t>Taux unique</t>
    </r>
    <r>
      <rPr>
        <b/>
        <sz val="26"/>
        <rFont val="Aparajita"/>
        <family val="1"/>
      </rPr>
      <t xml:space="preserve"> :</t>
    </r>
  </si>
  <si>
    <t>MICRO-ENTREPRENEUR</t>
  </si>
  <si>
    <t>Non</t>
  </si>
  <si>
    <t>→ Invalidité - Décès*</t>
  </si>
  <si>
    <r>
      <t>*</t>
    </r>
    <r>
      <rPr>
        <i/>
        <sz val="11"/>
        <rFont val="Calibri"/>
        <family val="2"/>
        <scheme val="minor"/>
      </rPr>
      <t>exonération au delà de 67 ans</t>
    </r>
  </si>
  <si>
    <t>Nb de trimestres acquis</t>
  </si>
  <si>
    <t>Cot. retraite de base</t>
  </si>
  <si>
    <t>Cot. complémentaire</t>
  </si>
  <si>
    <t>MICRO-BNC</t>
  </si>
  <si>
    <t>Oui</t>
  </si>
  <si>
    <t>ACRE (Micro-entrepreneur)</t>
  </si>
  <si>
    <t>CREATION D'ACTIVITE ?</t>
  </si>
  <si>
    <t>FRAIS PRO ESTIMÉS</t>
  </si>
  <si>
    <t>BÉNÉFICE IMPOSABLE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</si>
</sst>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_-* #,##0\ [$€-40C]_-;\-* #,##0\ [$€-40C]_-;_-* &quot;-&quot;??\ [$€-40C]_-;_-@_-"/>
    <numFmt numFmtId="166" formatCode="0.0"/>
  </numFmts>
  <fonts count="67" x14ac:knownFonts="1">
    <font>
      <sz val="11"/>
      <color theme="1"/>
      <name val="Calibri"/>
      <family val="2"/>
      <scheme val="minor"/>
    </font>
    <font>
      <sz val="18"/>
      <name val="Aparajit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Aparajita"/>
      <family val="2"/>
    </font>
    <font>
      <sz val="16"/>
      <color theme="0"/>
      <name val="Aparajita"/>
      <family val="2"/>
    </font>
    <font>
      <sz val="14"/>
      <color theme="0"/>
      <name val="Calibri"/>
      <family val="2"/>
      <scheme val="minor"/>
    </font>
    <font>
      <sz val="26"/>
      <color theme="1"/>
      <name val="Calibri"/>
      <family val="2"/>
      <scheme val="minor"/>
    </font>
    <font>
      <sz val="16"/>
      <color theme="1"/>
      <name val="Aparajita"/>
      <family val="2"/>
    </font>
    <font>
      <sz val="14"/>
      <color theme="1"/>
      <name val="Aparajita"/>
      <family val="2"/>
    </font>
    <font>
      <b/>
      <sz val="16"/>
      <color theme="1"/>
      <name val="Aparajita"/>
      <family val="2"/>
    </font>
    <font>
      <sz val="11"/>
      <color theme="1"/>
      <name val="Aparajita"/>
      <family val="2"/>
    </font>
    <font>
      <b/>
      <sz val="26"/>
      <color theme="0"/>
      <name val="Aparajita"/>
      <family val="2"/>
    </font>
    <font>
      <sz val="18"/>
      <color theme="1"/>
      <name val="Aparajita"/>
      <family val="2"/>
    </font>
    <font>
      <b/>
      <sz val="22"/>
      <color rgb="FFA90332"/>
      <name val="Calibri"/>
      <family val="2"/>
      <scheme val="minor"/>
    </font>
    <font>
      <b/>
      <sz val="18"/>
      <color rgb="FFA9033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Aparajita"/>
      <family val="2"/>
    </font>
    <font>
      <b/>
      <sz val="20"/>
      <color theme="1"/>
      <name val="Aparajita"/>
      <family val="2"/>
    </font>
    <font>
      <sz val="11"/>
      <color rgb="FFFF0000"/>
      <name val="Aparajita"/>
      <family val="2"/>
    </font>
    <font>
      <b/>
      <sz val="22"/>
      <color rgb="FFA90332"/>
      <name val="Aparajita"/>
      <family val="2"/>
    </font>
    <font>
      <sz val="18"/>
      <color theme="1"/>
      <name val="Wingdings"/>
      <charset val="2"/>
    </font>
    <font>
      <sz val="18"/>
      <color theme="1"/>
      <name val="Cambria"/>
      <family val="1"/>
      <scheme val="major"/>
    </font>
    <font>
      <b/>
      <sz val="20"/>
      <color rgb="FFA90332"/>
      <name val="Aparajita"/>
      <family val="2"/>
    </font>
    <font>
      <b/>
      <sz val="22"/>
      <color theme="0"/>
      <name val="Aparajita"/>
      <family val="2"/>
    </font>
    <font>
      <sz val="11"/>
      <color theme="1"/>
      <name val="Symbol"/>
      <family val="1"/>
      <charset val="2"/>
    </font>
    <font>
      <sz val="36"/>
      <color rgb="FFA90332"/>
      <name val="Calibri"/>
      <family val="2"/>
    </font>
    <font>
      <sz val="22"/>
      <color theme="0"/>
      <name val="Aparajita"/>
      <family val="2"/>
    </font>
    <font>
      <sz val="28"/>
      <color rgb="FFA90332"/>
      <name val="Calibri"/>
      <family val="2"/>
    </font>
    <font>
      <b/>
      <sz val="22"/>
      <color rgb="FFA90332"/>
      <name val="Aparajita"/>
      <family val="1"/>
    </font>
    <font>
      <b/>
      <sz val="20"/>
      <color rgb="FFBD0332"/>
      <name val="Aparajita"/>
      <family val="2"/>
    </font>
    <font>
      <b/>
      <sz val="26"/>
      <color theme="1"/>
      <name val="Calibri"/>
      <family val="2"/>
      <scheme val="minor"/>
    </font>
    <font>
      <b/>
      <i/>
      <u/>
      <sz val="16"/>
      <color theme="1"/>
      <name val="Aparajita"/>
      <family val="2"/>
    </font>
    <font>
      <b/>
      <u/>
      <sz val="24"/>
      <color rgb="FFA90332"/>
      <name val="Aparajita"/>
      <family val="2"/>
    </font>
    <font>
      <sz val="14"/>
      <color rgb="FFFF0000"/>
      <name val="Calibri"/>
      <family val="2"/>
    </font>
    <font>
      <b/>
      <u/>
      <sz val="26"/>
      <name val="Aparajita"/>
      <family val="2"/>
    </font>
    <font>
      <b/>
      <sz val="26"/>
      <name val="Aparajita"/>
      <family val="2"/>
    </font>
    <font>
      <b/>
      <sz val="26"/>
      <color rgb="FFA90332"/>
      <name val="Aparajita"/>
      <family val="2"/>
    </font>
    <font>
      <b/>
      <sz val="24"/>
      <color rgb="FFA90332"/>
      <name val="Aparajita"/>
      <family val="1"/>
    </font>
    <font>
      <b/>
      <sz val="30"/>
      <color theme="0"/>
      <name val="Aparajita"/>
      <family val="2"/>
    </font>
    <font>
      <b/>
      <sz val="24"/>
      <color theme="0"/>
      <name val="Aparajita"/>
      <family val="1"/>
    </font>
    <font>
      <b/>
      <sz val="26"/>
      <color theme="0"/>
      <name val="Aparajita"/>
      <family val="1"/>
    </font>
    <font>
      <b/>
      <sz val="28"/>
      <color theme="1"/>
      <name val="Aparajita"/>
      <family val="2"/>
    </font>
    <font>
      <sz val="72"/>
      <color rgb="FF0066CC"/>
      <name val="Aparajita"/>
      <family val="2"/>
    </font>
    <font>
      <b/>
      <sz val="26"/>
      <name val="Aparajita"/>
      <family val="1"/>
    </font>
    <font>
      <b/>
      <sz val="30"/>
      <color rgb="FFA90332"/>
      <name val="Aparajita"/>
      <family val="2"/>
    </font>
    <font>
      <b/>
      <sz val="22"/>
      <color rgb="FFA90332"/>
      <name val="Arial"/>
      <family val="2"/>
    </font>
    <font>
      <b/>
      <sz val="32"/>
      <color rgb="FFA90332"/>
      <name val="Aparajita"/>
      <family val="2"/>
    </font>
    <font>
      <b/>
      <sz val="38"/>
      <color theme="0"/>
      <name val="Aparajita"/>
      <family val="1"/>
    </font>
    <font>
      <b/>
      <sz val="32"/>
      <color theme="0"/>
      <name val="Aparajita"/>
      <family val="1"/>
    </font>
    <font>
      <b/>
      <u val="double"/>
      <sz val="17"/>
      <color rgb="FFA90332"/>
      <name val="Aparajita"/>
      <family val="2"/>
    </font>
    <font>
      <sz val="11"/>
      <color theme="4" tint="-0.249977111117893"/>
      <name val="Calibri"/>
      <family val="2"/>
      <scheme val="minor"/>
    </font>
    <font>
      <sz val="18"/>
      <color theme="4" tint="-0.249977111117893"/>
      <name val="Aparajita"/>
      <family val="2"/>
    </font>
    <font>
      <b/>
      <sz val="22"/>
      <color theme="4" tint="-0.249977111117893"/>
      <name val="Aparajita"/>
      <family val="2"/>
    </font>
    <font>
      <b/>
      <sz val="24"/>
      <color theme="4" tint="-0.249977111117893"/>
      <name val="Aparajita"/>
      <family val="2"/>
    </font>
    <font>
      <i/>
      <sz val="11"/>
      <name val="Calibri"/>
      <family val="2"/>
      <scheme val="minor"/>
    </font>
    <font>
      <sz val="11"/>
      <color rgb="FFA90332"/>
      <name val="Calibri"/>
      <family val="2"/>
      <scheme val="minor"/>
    </font>
    <font>
      <sz val="20"/>
      <color rgb="FFA90332"/>
      <name val="Aparajita"/>
      <family val="1"/>
    </font>
    <font>
      <b/>
      <sz val="20"/>
      <color rgb="FFA90332"/>
      <name val="Aparajita"/>
      <family val="1"/>
    </font>
    <font>
      <sz val="18"/>
      <color rgb="FFA90332"/>
      <name val="Aparajita"/>
      <family val="1"/>
    </font>
    <font>
      <b/>
      <sz val="29"/>
      <color theme="0"/>
      <name val="Aparajita"/>
      <family val="1"/>
    </font>
    <font>
      <b/>
      <sz val="22"/>
      <name val="Aparajita"/>
      <family val="1"/>
    </font>
    <font>
      <b/>
      <sz val="22"/>
      <color theme="0"/>
      <name val="Aparajita"/>
      <family val="1"/>
    </font>
    <font>
      <u/>
      <sz val="22"/>
      <color rgb="FFA90332"/>
      <name val="Aparajita"/>
      <family val="1"/>
    </font>
  </fonts>
  <fills count="11">
    <fill>
      <patternFill patternType="none"/>
    </fill>
    <fill>
      <patternFill patternType="gray125"/>
    </fill>
    <fill>
      <patternFill patternType="solid">
        <fgColor rgb="FFA903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3743705557422"/>
      </patternFill>
    </fill>
    <fill>
      <gradientFill>
        <stop position="0">
          <color rgb="FFA90332"/>
        </stop>
        <stop position="0.5">
          <color rgb="FFCC043D"/>
        </stop>
        <stop position="1">
          <color rgb="FFA90332"/>
        </stop>
      </gradientFill>
    </fill>
    <fill>
      <patternFill patternType="solid">
        <fgColor theme="0"/>
      </patternFill>
    </fill>
    <fill>
      <patternFill patternType="gray0625">
        <fgColor theme="1"/>
        <bgColor rgb="FF9F0332"/>
      </patternFill>
    </fill>
    <fill>
      <patternFill patternType="gray0625">
        <fgColor auto="1"/>
        <bgColor rgb="FF9F0332"/>
      </patternFill>
    </fill>
  </fills>
  <borders count="22">
    <border>
      <left/>
      <right/>
      <top/>
      <bottom/>
      <diagonal/>
    </border>
    <border>
      <left style="medium">
        <color rgb="FFA90332"/>
      </left>
      <right/>
      <top style="medium">
        <color rgb="FFA90332"/>
      </top>
      <bottom style="medium">
        <color rgb="FFA90332"/>
      </bottom>
      <diagonal/>
    </border>
    <border>
      <left style="thin">
        <color rgb="FFA90332"/>
      </left>
      <right/>
      <top style="medium">
        <color rgb="FFA90332"/>
      </top>
      <bottom style="medium">
        <color rgb="FFA90332"/>
      </bottom>
      <diagonal/>
    </border>
    <border>
      <left style="medium">
        <color rgb="FFA90332"/>
      </left>
      <right style="medium">
        <color rgb="FFA90332"/>
      </right>
      <top style="medium">
        <color rgb="FFA90332"/>
      </top>
      <bottom style="medium">
        <color rgb="FFA90332"/>
      </bottom>
      <diagonal/>
    </border>
    <border>
      <left/>
      <right style="medium">
        <color rgb="FFA90332"/>
      </right>
      <top style="medium">
        <color rgb="FFA90332"/>
      </top>
      <bottom style="medium">
        <color rgb="FFA90332"/>
      </bottom>
      <diagonal/>
    </border>
    <border>
      <left/>
      <right/>
      <top style="medium">
        <color rgb="FFA90332"/>
      </top>
      <bottom style="medium">
        <color rgb="FFA90332"/>
      </bottom>
      <diagonal/>
    </border>
    <border>
      <left style="medium">
        <color rgb="FFA90332"/>
      </left>
      <right/>
      <top style="medium">
        <color rgb="FFA90332"/>
      </top>
      <bottom/>
      <diagonal/>
    </border>
    <border>
      <left/>
      <right/>
      <top style="medium">
        <color rgb="FFA90332"/>
      </top>
      <bottom/>
      <diagonal/>
    </border>
    <border>
      <left style="medium">
        <color rgb="FFA90332"/>
      </left>
      <right/>
      <top/>
      <bottom style="medium">
        <color rgb="FFA90332"/>
      </bottom>
      <diagonal/>
    </border>
    <border>
      <left/>
      <right/>
      <top/>
      <bottom style="medium">
        <color rgb="FFA90332"/>
      </bottom>
      <diagonal/>
    </border>
    <border>
      <left style="medium">
        <color rgb="FFA90332"/>
      </left>
      <right style="medium">
        <color rgb="FFA90332"/>
      </right>
      <top style="medium">
        <color rgb="FFA90332"/>
      </top>
      <bottom/>
      <diagonal/>
    </border>
    <border>
      <left style="medium">
        <color rgb="FFA90332"/>
      </left>
      <right style="medium">
        <color rgb="FFA90332"/>
      </right>
      <top/>
      <bottom style="medium">
        <color rgb="FFA90332"/>
      </bottom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/>
      <bottom style="double">
        <color theme="0"/>
      </bottom>
      <diagonal/>
    </border>
    <border>
      <left/>
      <right/>
      <top/>
      <bottom style="double">
        <color theme="0"/>
      </bottom>
      <diagonal/>
    </border>
    <border>
      <left/>
      <right style="double">
        <color theme="0"/>
      </right>
      <top/>
      <bottom style="double">
        <color theme="0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/>
      <right style="thick">
        <color rgb="FFA90332"/>
      </right>
      <top/>
      <bottom/>
      <diagonal/>
    </border>
    <border>
      <left style="thick">
        <color rgb="FFA90332"/>
      </left>
      <right/>
      <top/>
      <bottom style="thick">
        <color rgb="FFA90332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3">
    <xf numFmtId="0" fontId="0" fillId="0" borderId="0" xfId="0"/>
    <xf numFmtId="9" fontId="5" fillId="0" borderId="0" xfId="0" applyNumberFormat="1" applyFont="1"/>
    <xf numFmtId="0" fontId="6" fillId="0" borderId="0" xfId="0" applyFont="1"/>
    <xf numFmtId="0" fontId="8" fillId="2" borderId="2" xfId="0" applyFont="1" applyFill="1" applyBorder="1"/>
    <xf numFmtId="0" fontId="0" fillId="3" borderId="0" xfId="0" applyFill="1"/>
    <xf numFmtId="9" fontId="9" fillId="0" borderId="0" xfId="0" applyNumberFormat="1" applyFont="1"/>
    <xf numFmtId="0" fontId="10" fillId="0" borderId="0" xfId="0" applyFont="1"/>
    <xf numFmtId="0" fontId="11" fillId="3" borderId="0" xfId="0" applyFont="1" applyFill="1" applyAlignment="1">
      <alignment vertical="center"/>
    </xf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5" fillId="2" borderId="3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center"/>
    </xf>
    <xf numFmtId="0" fontId="16" fillId="0" borderId="0" xfId="0" applyFont="1" applyAlignment="1">
      <alignment vertical="center" wrapText="1"/>
    </xf>
    <xf numFmtId="10" fontId="0" fillId="0" borderId="0" xfId="0" applyNumberFormat="1"/>
    <xf numFmtId="1" fontId="0" fillId="0" borderId="0" xfId="0" applyNumberFormat="1"/>
    <xf numFmtId="0" fontId="12" fillId="0" borderId="0" xfId="0" applyFont="1"/>
    <xf numFmtId="0" fontId="11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12" fillId="0" borderId="0" xfId="0" applyNumberFormat="1" applyFont="1"/>
    <xf numFmtId="0" fontId="12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4" fillId="0" borderId="0" xfId="0" applyFont="1"/>
    <xf numFmtId="164" fontId="21" fillId="5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22" fillId="0" borderId="0" xfId="0" applyFont="1"/>
    <xf numFmtId="0" fontId="3" fillId="0" borderId="0" xfId="0" applyFont="1"/>
    <xf numFmtId="49" fontId="3" fillId="0" borderId="0" xfId="0" quotePrefix="1" applyNumberFormat="1" applyFont="1"/>
    <xf numFmtId="0" fontId="9" fillId="0" borderId="0" xfId="0" applyFont="1"/>
    <xf numFmtId="0" fontId="16" fillId="0" borderId="0" xfId="0" applyFont="1" applyAlignment="1">
      <alignment vertical="top" wrapText="1"/>
    </xf>
    <xf numFmtId="0" fontId="24" fillId="0" borderId="0" xfId="0" applyFont="1" applyAlignment="1">
      <alignment vertical="top" wrapText="1"/>
    </xf>
    <xf numFmtId="9" fontId="3" fillId="0" borderId="0" xfId="0" applyNumberFormat="1" applyFont="1"/>
    <xf numFmtId="9" fontId="3" fillId="0" borderId="0" xfId="0" quotePrefix="1" applyNumberFormat="1" applyFont="1"/>
    <xf numFmtId="9" fontId="4" fillId="0" borderId="0" xfId="0" applyNumberFormat="1" applyFont="1"/>
    <xf numFmtId="10" fontId="16" fillId="0" borderId="0" xfId="0" applyNumberFormat="1" applyFont="1" applyAlignment="1">
      <alignment horizontal="center" shrinkToFit="1"/>
    </xf>
    <xf numFmtId="0" fontId="25" fillId="0" borderId="0" xfId="0" applyFont="1" applyAlignment="1">
      <alignment vertical="center" wrapText="1"/>
    </xf>
    <xf numFmtId="0" fontId="12" fillId="6" borderId="0" xfId="0" applyFont="1" applyFill="1" applyAlignment="1">
      <alignment horizontal="center"/>
    </xf>
    <xf numFmtId="0" fontId="26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23" fillId="0" borderId="0" xfId="0" applyFont="1"/>
    <xf numFmtId="0" fontId="28" fillId="0" borderId="0" xfId="0" applyFont="1"/>
    <xf numFmtId="1" fontId="29" fillId="0" borderId="0" xfId="0" applyNumberFormat="1" applyFont="1" applyAlignment="1">
      <alignment vertical="center" textRotation="91"/>
    </xf>
    <xf numFmtId="0" fontId="3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29" fillId="0" borderId="0" xfId="0" applyNumberFormat="1" applyFont="1" applyAlignment="1">
      <alignment vertical="center"/>
    </xf>
    <xf numFmtId="1" fontId="31" fillId="0" borderId="0" xfId="0" applyNumberFormat="1" applyFont="1" applyAlignment="1">
      <alignment horizontal="center" vertical="center"/>
    </xf>
    <xf numFmtId="10" fontId="1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right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/>
    </xf>
    <xf numFmtId="0" fontId="16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164" fontId="7" fillId="0" borderId="0" xfId="0" applyNumberFormat="1" applyFont="1" applyAlignment="1">
      <alignment vertical="center"/>
    </xf>
    <xf numFmtId="1" fontId="36" fillId="0" borderId="0" xfId="0" applyNumberFormat="1" applyFont="1" applyAlignment="1" applyProtection="1">
      <alignment vertical="center" wrapText="1"/>
      <protection locked="0"/>
    </xf>
    <xf numFmtId="10" fontId="23" fillId="0" borderId="0" xfId="0" applyNumberFormat="1" applyFont="1" applyAlignment="1">
      <alignment vertical="center" shrinkToFit="1"/>
    </xf>
    <xf numFmtId="1" fontId="32" fillId="0" borderId="0" xfId="0" applyNumberFormat="1" applyFont="1" applyAlignment="1">
      <alignment horizontal="center" vertical="center" wrapText="1"/>
    </xf>
    <xf numFmtId="0" fontId="37" fillId="0" borderId="0" xfId="1" applyNumberFormat="1" applyFont="1" applyProtection="1"/>
    <xf numFmtId="9" fontId="16" fillId="0" borderId="0" xfId="0" applyNumberFormat="1" applyFont="1" applyAlignment="1">
      <alignment horizontal="center"/>
    </xf>
    <xf numFmtId="10" fontId="39" fillId="0" borderId="0" xfId="0" quotePrefix="1" applyNumberFormat="1" applyFont="1" applyAlignment="1">
      <alignment vertical="center" shrinkToFit="1"/>
    </xf>
    <xf numFmtId="164" fontId="42" fillId="7" borderId="0" xfId="0" applyNumberFormat="1" applyFont="1" applyFill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" fontId="41" fillId="0" borderId="0" xfId="0" applyNumberFormat="1" applyFont="1" applyAlignment="1">
      <alignment vertical="center" wrapText="1"/>
    </xf>
    <xf numFmtId="0" fontId="15" fillId="2" borderId="1" xfId="0" applyFont="1" applyFill="1" applyBorder="1" applyAlignment="1">
      <alignment horizontal="right" vertical="center"/>
    </xf>
    <xf numFmtId="0" fontId="15" fillId="2" borderId="5" xfId="0" applyFont="1" applyFill="1" applyBorder="1" applyAlignment="1">
      <alignment vertical="center"/>
    </xf>
    <xf numFmtId="164" fontId="45" fillId="4" borderId="3" xfId="0" applyNumberFormat="1" applyFont="1" applyFill="1" applyBorder="1" applyAlignment="1" applyProtection="1">
      <alignment horizontal="center" vertical="center"/>
      <protection locked="0"/>
    </xf>
    <xf numFmtId="1" fontId="38" fillId="0" borderId="0" xfId="0" applyNumberFormat="1" applyFont="1" applyAlignment="1">
      <alignment vertical="center"/>
    </xf>
    <xf numFmtId="0" fontId="33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top"/>
    </xf>
    <xf numFmtId="0" fontId="45" fillId="4" borderId="3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30" fillId="0" borderId="20" xfId="0" applyFont="1" applyBorder="1" applyAlignment="1">
      <alignment vertical="center"/>
    </xf>
    <xf numFmtId="0" fontId="30" fillId="0" borderId="21" xfId="0" applyFont="1" applyBorder="1" applyAlignment="1">
      <alignment vertical="center"/>
    </xf>
    <xf numFmtId="0" fontId="53" fillId="4" borderId="3" xfId="0" applyFont="1" applyFill="1" applyBorder="1" applyAlignment="1">
      <alignment horizontal="center" vertical="center"/>
    </xf>
    <xf numFmtId="0" fontId="53" fillId="4" borderId="4" xfId="0" applyFont="1" applyFill="1" applyBorder="1" applyAlignment="1">
      <alignment horizontal="center" vertical="center"/>
    </xf>
    <xf numFmtId="0" fontId="49" fillId="0" borderId="0" xfId="0" applyFont="1" applyAlignment="1">
      <alignment vertical="center" wrapText="1"/>
    </xf>
    <xf numFmtId="0" fontId="54" fillId="0" borderId="0" xfId="0" applyFont="1"/>
    <xf numFmtId="0" fontId="55" fillId="0" borderId="0" xfId="0" applyFont="1" applyAlignment="1">
      <alignment vertical="top" wrapText="1"/>
    </xf>
    <xf numFmtId="1" fontId="54" fillId="0" borderId="0" xfId="0" applyNumberFormat="1" applyFont="1"/>
    <xf numFmtId="10" fontId="54" fillId="0" borderId="0" xfId="0" applyNumberFormat="1" applyFont="1"/>
    <xf numFmtId="9" fontId="54" fillId="0" borderId="0" xfId="0" applyNumberFormat="1" applyFont="1"/>
    <xf numFmtId="10" fontId="39" fillId="0" borderId="0" xfId="0" quotePrefix="1" applyNumberFormat="1" applyFont="1" applyAlignment="1">
      <alignment horizontal="center" vertical="center" shrinkToFit="1"/>
    </xf>
    <xf numFmtId="0" fontId="6" fillId="0" borderId="0" xfId="0" applyFont="1" applyAlignment="1">
      <alignment horizontal="left" vertical="top" indent="3"/>
    </xf>
    <xf numFmtId="0" fontId="46" fillId="0" borderId="0" xfId="0" applyFont="1" applyAlignment="1">
      <alignment vertical="center"/>
    </xf>
    <xf numFmtId="0" fontId="59" fillId="0" borderId="0" xfId="0" applyFont="1"/>
    <xf numFmtId="0" fontId="60" fillId="0" borderId="0" xfId="0" applyFont="1" applyAlignment="1">
      <alignment horizontal="center"/>
    </xf>
    <xf numFmtId="1" fontId="61" fillId="0" borderId="0" xfId="0" applyNumberFormat="1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1" fontId="23" fillId="0" borderId="0" xfId="0" applyNumberFormat="1" applyFont="1" applyAlignment="1">
      <alignment horizontal="center" vertical="center"/>
    </xf>
    <xf numFmtId="1" fontId="23" fillId="0" borderId="0" xfId="0" applyNumberFormat="1" applyFont="1" applyAlignment="1">
      <alignment vertical="center"/>
    </xf>
    <xf numFmtId="166" fontId="61" fillId="0" borderId="0" xfId="0" applyNumberFormat="1" applyFont="1" applyAlignment="1">
      <alignment horizontal="center"/>
    </xf>
    <xf numFmtId="2" fontId="61" fillId="0" borderId="0" xfId="0" applyNumberFormat="1" applyFont="1" applyAlignment="1">
      <alignment horizontal="center"/>
    </xf>
    <xf numFmtId="0" fontId="58" fillId="0" borderId="0" xfId="0" applyFont="1" applyAlignment="1">
      <alignment horizontal="left" vertical="top" indent="3"/>
    </xf>
    <xf numFmtId="0" fontId="3" fillId="2" borderId="0" xfId="0" applyFont="1" applyFill="1"/>
    <xf numFmtId="1" fontId="27" fillId="2" borderId="0" xfId="0" applyNumberFormat="1" applyFont="1" applyFill="1" applyAlignment="1">
      <alignment horizontal="center" vertical="center"/>
    </xf>
    <xf numFmtId="10" fontId="9" fillId="0" borderId="0" xfId="1" applyNumberFormat="1" applyFont="1"/>
    <xf numFmtId="10" fontId="9" fillId="0" borderId="0" xfId="0" applyNumberFormat="1" applyFont="1"/>
    <xf numFmtId="164" fontId="57" fillId="8" borderId="0" xfId="0" applyNumberFormat="1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0" fontId="40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4" fillId="7" borderId="0" xfId="0" applyFont="1" applyFill="1" applyAlignment="1">
      <alignment horizontal="center" vertical="center"/>
    </xf>
    <xf numFmtId="0" fontId="48" fillId="0" borderId="0" xfId="0" applyFont="1" applyAlignment="1">
      <alignment horizontal="right" vertical="center"/>
    </xf>
    <xf numFmtId="164" fontId="42" fillId="7" borderId="0" xfId="0" applyNumberFormat="1" applyFont="1" applyFill="1" applyAlignment="1">
      <alignment horizontal="center" vertical="center"/>
    </xf>
    <xf numFmtId="0" fontId="15" fillId="2" borderId="1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1" fontId="31" fillId="0" borderId="0" xfId="0" applyNumberFormat="1" applyFont="1" applyAlignment="1">
      <alignment horizontal="left" vertical="center" indent="10"/>
    </xf>
    <xf numFmtId="0" fontId="30" fillId="0" borderId="0" xfId="0" applyFont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50" fillId="4" borderId="0" xfId="0" applyFont="1" applyFill="1" applyAlignment="1">
      <alignment horizontal="center" vertical="center" wrapText="1"/>
    </xf>
    <xf numFmtId="0" fontId="44" fillId="2" borderId="7" xfId="0" applyFont="1" applyFill="1" applyBorder="1" applyAlignment="1">
      <alignment horizontal="right" vertical="center"/>
    </xf>
    <xf numFmtId="0" fontId="44" fillId="2" borderId="0" xfId="0" applyFont="1" applyFill="1" applyAlignment="1">
      <alignment horizontal="right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9" fontId="45" fillId="4" borderId="10" xfId="0" applyNumberFormat="1" applyFont="1" applyFill="1" applyBorder="1" applyAlignment="1" applyProtection="1">
      <alignment horizontal="center" vertical="center"/>
      <protection locked="0"/>
    </xf>
    <xf numFmtId="9" fontId="45" fillId="4" borderId="11" xfId="0" applyNumberFormat="1" applyFont="1" applyFill="1" applyBorder="1" applyAlignment="1" applyProtection="1">
      <alignment horizontal="center" vertical="center"/>
      <protection locked="0"/>
    </xf>
    <xf numFmtId="0" fontId="43" fillId="7" borderId="0" xfId="0" applyFont="1" applyFill="1" applyAlignment="1">
      <alignment horizontal="center" vertical="center"/>
    </xf>
    <xf numFmtId="1" fontId="41" fillId="0" borderId="0" xfId="0" applyNumberFormat="1" applyFont="1" applyAlignment="1">
      <alignment horizontal="center" vertical="center" wrapText="1"/>
    </xf>
    <xf numFmtId="1" fontId="38" fillId="0" borderId="0" xfId="0" applyNumberFormat="1" applyFont="1" applyAlignment="1">
      <alignment horizontal="center" vertical="center"/>
    </xf>
    <xf numFmtId="0" fontId="51" fillId="9" borderId="12" xfId="0" applyFont="1" applyFill="1" applyBorder="1" applyAlignment="1">
      <alignment horizontal="center" vertical="center" wrapText="1"/>
    </xf>
    <xf numFmtId="0" fontId="51" fillId="9" borderId="13" xfId="0" applyFont="1" applyFill="1" applyBorder="1" applyAlignment="1">
      <alignment horizontal="center" vertical="center" wrapText="1"/>
    </xf>
    <xf numFmtId="0" fontId="51" fillId="9" borderId="14" xfId="0" applyFont="1" applyFill="1" applyBorder="1" applyAlignment="1">
      <alignment horizontal="center" vertical="center" wrapText="1"/>
    </xf>
    <xf numFmtId="0" fontId="51" fillId="9" borderId="18" xfId="0" applyFont="1" applyFill="1" applyBorder="1" applyAlignment="1">
      <alignment horizontal="center" vertical="center" wrapText="1"/>
    </xf>
    <xf numFmtId="0" fontId="51" fillId="9" borderId="0" xfId="0" applyFont="1" applyFill="1" applyAlignment="1">
      <alignment horizontal="center" vertical="center" wrapText="1"/>
    </xf>
    <xf numFmtId="0" fontId="51" fillId="9" borderId="19" xfId="0" applyFont="1" applyFill="1" applyBorder="1" applyAlignment="1">
      <alignment horizontal="center" vertical="center" wrapText="1"/>
    </xf>
    <xf numFmtId="0" fontId="51" fillId="9" borderId="15" xfId="0" applyFont="1" applyFill="1" applyBorder="1" applyAlignment="1">
      <alignment horizontal="center" vertical="center" wrapText="1"/>
    </xf>
    <xf numFmtId="0" fontId="51" fillId="9" borderId="16" xfId="0" applyFont="1" applyFill="1" applyBorder="1" applyAlignment="1">
      <alignment horizontal="center" vertical="center" wrapText="1"/>
    </xf>
    <xf numFmtId="0" fontId="51" fillId="9" borderId="17" xfId="0" applyFont="1" applyFill="1" applyBorder="1" applyAlignment="1">
      <alignment horizontal="center" vertical="center" wrapText="1"/>
    </xf>
    <xf numFmtId="0" fontId="51" fillId="10" borderId="12" xfId="0" applyFont="1" applyFill="1" applyBorder="1" applyAlignment="1">
      <alignment horizontal="center" vertical="center" wrapText="1"/>
    </xf>
    <xf numFmtId="0" fontId="51" fillId="10" borderId="13" xfId="0" applyFont="1" applyFill="1" applyBorder="1" applyAlignment="1">
      <alignment horizontal="center" vertical="center" wrapText="1"/>
    </xf>
    <xf numFmtId="0" fontId="51" fillId="10" borderId="14" xfId="0" applyFont="1" applyFill="1" applyBorder="1" applyAlignment="1">
      <alignment horizontal="center" vertical="center" wrapText="1"/>
    </xf>
    <xf numFmtId="0" fontId="51" fillId="10" borderId="18" xfId="0" applyFont="1" applyFill="1" applyBorder="1" applyAlignment="1">
      <alignment horizontal="center" vertical="center" wrapText="1"/>
    </xf>
    <xf numFmtId="0" fontId="51" fillId="10" borderId="0" xfId="0" applyFont="1" applyFill="1" applyAlignment="1">
      <alignment horizontal="center" vertical="center" wrapText="1"/>
    </xf>
    <xf numFmtId="0" fontId="51" fillId="10" borderId="19" xfId="0" applyFont="1" applyFill="1" applyBorder="1" applyAlignment="1">
      <alignment horizontal="center" vertical="center" wrapText="1"/>
    </xf>
    <xf numFmtId="0" fontId="51" fillId="10" borderId="15" xfId="0" applyFont="1" applyFill="1" applyBorder="1" applyAlignment="1">
      <alignment horizontal="center" vertical="center" wrapText="1"/>
    </xf>
    <xf numFmtId="0" fontId="51" fillId="10" borderId="16" xfId="0" applyFont="1" applyFill="1" applyBorder="1" applyAlignment="1">
      <alignment horizontal="center" vertical="center" wrapText="1"/>
    </xf>
    <xf numFmtId="0" fontId="51" fillId="10" borderId="17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53" fillId="4" borderId="10" xfId="0" applyFont="1" applyFill="1" applyBorder="1" applyAlignment="1">
      <alignment horizontal="center" vertical="center"/>
    </xf>
    <xf numFmtId="0" fontId="53" fillId="4" borderId="1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wrapText="1"/>
    </xf>
    <xf numFmtId="0" fontId="49" fillId="0" borderId="0" xfId="0" applyFont="1" applyAlignment="1">
      <alignment horizontal="center"/>
    </xf>
    <xf numFmtId="1" fontId="27" fillId="2" borderId="0" xfId="0" applyNumberFormat="1" applyFont="1" applyFill="1" applyAlignment="1">
      <alignment horizontal="center" vertical="center"/>
    </xf>
    <xf numFmtId="0" fontId="65" fillId="2" borderId="0" xfId="0" applyFont="1" applyFill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0" fillId="0" borderId="0" xfId="0" applyFont="1" applyAlignment="1">
      <alignment horizontal="center"/>
    </xf>
    <xf numFmtId="0" fontId="32" fillId="0" borderId="0" xfId="0" applyFont="1" applyAlignment="1">
      <alignment horizontal="right" vertical="center"/>
    </xf>
    <xf numFmtId="164" fontId="27" fillId="7" borderId="0" xfId="0" applyNumberFormat="1" applyFont="1" applyFill="1" applyAlignment="1">
      <alignment horizontal="center" vertical="center"/>
    </xf>
    <xf numFmtId="9" fontId="27" fillId="7" borderId="0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52" fillId="9" borderId="12" xfId="0" applyFont="1" applyFill="1" applyBorder="1" applyAlignment="1">
      <alignment horizontal="center" vertical="center" wrapText="1"/>
    </xf>
    <xf numFmtId="0" fontId="52" fillId="9" borderId="13" xfId="0" applyFont="1" applyFill="1" applyBorder="1" applyAlignment="1">
      <alignment horizontal="center" vertical="center" wrapText="1"/>
    </xf>
    <xf numFmtId="0" fontId="52" fillId="9" borderId="14" xfId="0" applyFont="1" applyFill="1" applyBorder="1" applyAlignment="1">
      <alignment horizontal="center" vertical="center" wrapText="1"/>
    </xf>
    <xf numFmtId="0" fontId="52" fillId="9" borderId="18" xfId="0" applyFont="1" applyFill="1" applyBorder="1" applyAlignment="1">
      <alignment horizontal="center" vertical="center" wrapText="1"/>
    </xf>
    <xf numFmtId="0" fontId="52" fillId="9" borderId="0" xfId="0" applyFont="1" applyFill="1" applyAlignment="1">
      <alignment horizontal="center" vertical="center" wrapText="1"/>
    </xf>
    <xf numFmtId="0" fontId="52" fillId="9" borderId="19" xfId="0" applyFont="1" applyFill="1" applyBorder="1" applyAlignment="1">
      <alignment horizontal="center" vertical="center" wrapText="1"/>
    </xf>
    <xf numFmtId="0" fontId="52" fillId="9" borderId="15" xfId="0" applyFont="1" applyFill="1" applyBorder="1" applyAlignment="1">
      <alignment horizontal="center" vertical="center" wrapText="1"/>
    </xf>
    <xf numFmtId="0" fontId="52" fillId="9" borderId="16" xfId="0" applyFont="1" applyFill="1" applyBorder="1" applyAlignment="1">
      <alignment horizontal="center" vertical="center" wrapText="1"/>
    </xf>
    <xf numFmtId="0" fontId="52" fillId="9" borderId="17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/>
    </xf>
    <xf numFmtId="0" fontId="63" fillId="9" borderId="12" xfId="0" applyFont="1" applyFill="1" applyBorder="1" applyAlignment="1">
      <alignment horizontal="center" vertical="center" wrapText="1"/>
    </xf>
    <xf numFmtId="0" fontId="63" fillId="9" borderId="13" xfId="0" applyFont="1" applyFill="1" applyBorder="1" applyAlignment="1">
      <alignment horizontal="center" vertical="center" wrapText="1"/>
    </xf>
    <xf numFmtId="0" fontId="63" fillId="9" borderId="14" xfId="0" applyFont="1" applyFill="1" applyBorder="1" applyAlignment="1">
      <alignment horizontal="center" vertical="center" wrapText="1"/>
    </xf>
    <xf numFmtId="0" fontId="63" fillId="9" borderId="18" xfId="0" applyFont="1" applyFill="1" applyBorder="1" applyAlignment="1">
      <alignment horizontal="center" vertical="center" wrapText="1"/>
    </xf>
    <xf numFmtId="0" fontId="63" fillId="9" borderId="0" xfId="0" applyFont="1" applyFill="1" applyAlignment="1">
      <alignment horizontal="center" vertical="center" wrapText="1"/>
    </xf>
    <xf numFmtId="0" fontId="63" fillId="9" borderId="19" xfId="0" applyFont="1" applyFill="1" applyBorder="1" applyAlignment="1">
      <alignment horizontal="center" vertical="center" wrapText="1"/>
    </xf>
    <xf numFmtId="0" fontId="63" fillId="9" borderId="15" xfId="0" applyFont="1" applyFill="1" applyBorder="1" applyAlignment="1">
      <alignment horizontal="center" vertical="center" wrapText="1"/>
    </xf>
    <xf numFmtId="0" fontId="63" fillId="9" borderId="16" xfId="0" applyFont="1" applyFill="1" applyBorder="1" applyAlignment="1">
      <alignment horizontal="center" vertical="center" wrapText="1"/>
    </xf>
    <xf numFmtId="0" fontId="63" fillId="9" borderId="17" xfId="0" applyFont="1" applyFill="1" applyBorder="1" applyAlignment="1">
      <alignment horizontal="center" vertical="center" wrapText="1"/>
    </xf>
    <xf numFmtId="0" fontId="64" fillId="0" borderId="0" xfId="0" applyFont="1" applyAlignment="1">
      <alignment vertical="center" wrapText="1"/>
    </xf>
  </cellXfs>
  <cellStyles count="2">
    <cellStyle name="Normal" xfId="0" builtinId="0"/>
    <cellStyle name="Pourcentage" xfId="1" builtinId="5"/>
  </cellStyles>
  <dxfs count="38">
    <dxf>
      <font>
        <color theme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/>
        <color theme="0"/>
      </font>
      <fill>
        <patternFill>
          <bgColor rgb="FF0066CC"/>
        </patternFill>
      </fill>
    </dxf>
    <dxf>
      <font>
        <strike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color rgb="FF03B92E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 patternType="gray0625">
          <fgColor rgb="FFD00202"/>
          <bgColor rgb="FFD00202"/>
        </patternFill>
      </fill>
      <border>
        <left style="thin">
          <color rgb="FFD00202"/>
        </left>
        <right style="thin">
          <color rgb="FFD00202"/>
        </right>
        <top style="thin">
          <color rgb="FFD00202"/>
        </top>
        <bottom style="thin">
          <color rgb="FFD00202"/>
        </bottom>
        <vertical/>
        <horizontal/>
      </border>
    </dxf>
    <dxf>
      <font>
        <b/>
        <i val="0"/>
        <u/>
        <color rgb="FF03B92E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 patternType="gray0625">
          <fgColor rgb="FFD00202"/>
          <bgColor rgb="FFD00202"/>
        </patternFill>
      </fill>
      <border>
        <left style="thin">
          <color rgb="FFD00202"/>
        </left>
        <right style="thin">
          <color rgb="FFD00202"/>
        </right>
        <top style="thin">
          <color rgb="FFD00202"/>
        </top>
        <bottom style="thin">
          <color rgb="FFD00202"/>
        </bottom>
      </border>
    </dxf>
    <dxf>
      <font>
        <color theme="0"/>
      </font>
      <fill>
        <patternFill>
          <bgColor theme="0"/>
        </patternFill>
      </fill>
    </dxf>
    <dxf>
      <font>
        <b/>
        <i val="0"/>
        <u/>
        <color rgb="FF03B92E"/>
      </font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00CC00"/>
        </patternFill>
      </fill>
    </dxf>
    <dxf>
      <font>
        <b/>
        <i val="0"/>
        <color theme="0"/>
      </font>
      <fill>
        <patternFill>
          <bgColor rgb="FF00CC0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03B92E"/>
      </font>
    </dxf>
    <dxf>
      <font>
        <b/>
        <i val="0"/>
        <color theme="0"/>
      </font>
      <fill>
        <patternFill>
          <bgColor rgb="FFA90332"/>
        </patternFill>
      </fill>
    </dxf>
    <dxf>
      <font>
        <b/>
        <i val="0"/>
        <u/>
        <color rgb="FF03B92E"/>
      </font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u val="double"/>
        <color auto="1"/>
      </font>
      <fill>
        <patternFill>
          <bgColor rgb="FFCC0000"/>
        </patternFill>
      </fill>
    </dxf>
    <dxf>
      <font>
        <b/>
        <i val="0"/>
        <color theme="0"/>
      </font>
      <fill>
        <patternFill>
          <bgColor rgb="FFA90332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A90332"/>
      <color rgb="FF0066CC"/>
      <color rgb="FFD00202"/>
      <color rgb="FFC80202"/>
      <color rgb="FF9F03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OINTS RETRAITE'!A1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IMULATEUR!E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68033</xdr:colOff>
      <xdr:row>0</xdr:row>
      <xdr:rowOff>20410</xdr:rowOff>
    </xdr:from>
    <xdr:to>
      <xdr:col>1</xdr:col>
      <xdr:colOff>635200</xdr:colOff>
      <xdr:row>5</xdr:row>
      <xdr:rowOff>8708</xdr:rowOff>
    </xdr:to>
    <xdr:pic>
      <xdr:nvPicPr>
        <xdr:cNvPr id="11234" name="Image 16">
          <a:extLst>
            <a:ext uri="{FF2B5EF4-FFF2-40B4-BE49-F238E27FC236}">
              <a16:creationId xmlns:a16="http://schemas.microsoft.com/office/drawing/2014/main" id="{61DC48D7-4BF9-4380-A478-A1CBA506C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80"/>
        <a:stretch>
          <a:fillRect/>
        </a:stretch>
      </xdr:blipFill>
      <xdr:spPr bwMode="auto">
        <a:xfrm>
          <a:off x="68033" y="20410"/>
          <a:ext cx="2004081" cy="1251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460942</xdr:colOff>
      <xdr:row>1</xdr:row>
      <xdr:rowOff>168389</xdr:rowOff>
    </xdr:from>
    <xdr:to>
      <xdr:col>5</xdr:col>
      <xdr:colOff>449036</xdr:colOff>
      <xdr:row>4</xdr:row>
      <xdr:rowOff>272143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9478A227-802E-4433-98DE-33510F436A25}"/>
            </a:ext>
          </a:extLst>
        </xdr:cNvPr>
        <xdr:cNvSpPr txBox="1"/>
      </xdr:nvSpPr>
      <xdr:spPr>
        <a:xfrm>
          <a:off x="460942" y="372496"/>
          <a:ext cx="7921058" cy="593611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3200" b="1" u="sng">
              <a:solidFill>
                <a:srgbClr val="9F0332"/>
              </a:solidFill>
              <a:latin typeface="Aparajita" panose="020B0604020202020204" pitchFamily="34" charset="0"/>
              <a:cs typeface="Aparajita" panose="020B0604020202020204" pitchFamily="34" charset="0"/>
            </a:rPr>
            <a:t>PARTIE A COMPLÉTER</a:t>
          </a:r>
        </a:p>
      </xdr:txBody>
    </xdr:sp>
    <xdr:clientData/>
  </xdr:twoCellAnchor>
  <xdr:twoCellAnchor>
    <xdr:from>
      <xdr:col>1</xdr:col>
      <xdr:colOff>1075871</xdr:colOff>
      <xdr:row>28</xdr:row>
      <xdr:rowOff>198210</xdr:rowOff>
    </xdr:from>
    <xdr:to>
      <xdr:col>3</xdr:col>
      <xdr:colOff>847271</xdr:colOff>
      <xdr:row>30</xdr:row>
      <xdr:rowOff>33110</xdr:rowOff>
    </xdr:to>
    <xdr:grpSp>
      <xdr:nvGrpSpPr>
        <xdr:cNvPr id="11237" name="Groupe 4">
          <a:extLst>
            <a:ext uri="{FF2B5EF4-FFF2-40B4-BE49-F238E27FC236}">
              <a16:creationId xmlns:a16="http://schemas.microsoft.com/office/drawing/2014/main" id="{EA4AD87E-7734-435C-90E6-5B2A2FE4C574}"/>
            </a:ext>
          </a:extLst>
        </xdr:cNvPr>
        <xdr:cNvGrpSpPr>
          <a:grpSpLocks/>
        </xdr:cNvGrpSpPr>
      </xdr:nvGrpSpPr>
      <xdr:grpSpPr bwMode="auto">
        <a:xfrm>
          <a:off x="2477407" y="9355817"/>
          <a:ext cx="3268435" cy="406400"/>
          <a:chOff x="12906375" y="8667750"/>
          <a:chExt cx="2917029" cy="404811"/>
        </a:xfrm>
      </xdr:grpSpPr>
      <xdr:sp macro="" textlink="" fLocksText="0">
        <xdr:nvSpPr>
          <xdr:cNvPr id="2" name="Rectangle à coins arrondis 1">
            <a:extLst>
              <a:ext uri="{FF2B5EF4-FFF2-40B4-BE49-F238E27FC236}">
                <a16:creationId xmlns:a16="http://schemas.microsoft.com/office/drawing/2014/main" id="{999218B2-713A-41D1-9A8D-5A3E8CC5B78A}"/>
              </a:ext>
            </a:extLst>
          </xdr:cNvPr>
          <xdr:cNvSpPr/>
        </xdr:nvSpPr>
        <xdr:spPr>
          <a:xfrm>
            <a:off x="12906375" y="8667750"/>
            <a:ext cx="496516" cy="366258"/>
          </a:xfrm>
          <a:prstGeom prst="roundRect">
            <a:avLst/>
          </a:prstGeom>
          <a:solidFill>
            <a:srgbClr val="03B92E"/>
          </a:solidFill>
          <a:ln>
            <a:solidFill>
              <a:srgbClr val="03B92E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sp macro="" textlink="">
        <xdr:nvSpPr>
          <xdr:cNvPr id="4" name="ZoneTexte 3">
            <a:extLst>
              <a:ext uri="{FF2B5EF4-FFF2-40B4-BE49-F238E27FC236}">
                <a16:creationId xmlns:a16="http://schemas.microsoft.com/office/drawing/2014/main" id="{388D9C96-C81A-4169-B59E-53D3231ADC96}"/>
              </a:ext>
            </a:extLst>
          </xdr:cNvPr>
          <xdr:cNvSpPr txBox="1"/>
        </xdr:nvSpPr>
        <xdr:spPr>
          <a:xfrm>
            <a:off x="13447222" y="8677388"/>
            <a:ext cx="2376182" cy="3951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fr-FR" sz="1800" b="1">
                <a:latin typeface="Aparajita" panose="020B0604020202020204" pitchFamily="34" charset="0"/>
                <a:cs typeface="Aparajita" panose="020B0604020202020204" pitchFamily="34" charset="0"/>
              </a:rPr>
              <a:t>Situation</a:t>
            </a:r>
            <a:r>
              <a:rPr lang="fr-FR" sz="1800" b="1" baseline="0">
                <a:latin typeface="Aparajita" panose="020B0604020202020204" pitchFamily="34" charset="0"/>
                <a:cs typeface="Aparajita" panose="020B0604020202020204" pitchFamily="34" charset="0"/>
              </a:rPr>
              <a:t> la + favorable</a:t>
            </a:r>
            <a:endParaRPr lang="fr-FR" sz="1800" b="1">
              <a:latin typeface="Aparajita" panose="020B0604020202020204" pitchFamily="34" charset="0"/>
              <a:cs typeface="Aparajita" panose="020B0604020202020204" pitchFamily="34" charset="0"/>
            </a:endParaRPr>
          </a:p>
        </xdr:txBody>
      </xdr:sp>
    </xdr:grpSp>
    <xdr:clientData/>
  </xdr:twoCellAnchor>
  <xdr:twoCellAnchor>
    <xdr:from>
      <xdr:col>4</xdr:col>
      <xdr:colOff>229621</xdr:colOff>
      <xdr:row>14</xdr:row>
      <xdr:rowOff>175192</xdr:rowOff>
    </xdr:from>
    <xdr:to>
      <xdr:col>4</xdr:col>
      <xdr:colOff>938892</xdr:colOff>
      <xdr:row>16</xdr:row>
      <xdr:rowOff>204108</xdr:rowOff>
    </xdr:to>
    <xdr:sp macro="" textlink="">
      <xdr:nvSpPr>
        <xdr:cNvPr id="9" name="Flèche angle droit à deux pointes 8">
          <a:extLst>
            <a:ext uri="{FF2B5EF4-FFF2-40B4-BE49-F238E27FC236}">
              <a16:creationId xmlns:a16="http://schemas.microsoft.com/office/drawing/2014/main" id="{7C8115F2-74C8-4731-9729-FA844B15B800}"/>
            </a:ext>
          </a:extLst>
        </xdr:cNvPr>
        <xdr:cNvSpPr/>
      </xdr:nvSpPr>
      <xdr:spPr>
        <a:xfrm>
          <a:off x="6788264" y="4570299"/>
          <a:ext cx="709271" cy="722880"/>
        </a:xfrm>
        <a:prstGeom prst="leftUpArrow">
          <a:avLst>
            <a:gd name="adj1" fmla="val 21154"/>
            <a:gd name="adj2" fmla="val 24023"/>
            <a:gd name="adj3" fmla="val 21154"/>
          </a:avLst>
        </a:prstGeom>
        <a:solidFill>
          <a:srgbClr val="A90332"/>
        </a:solidFill>
        <a:ln>
          <a:solidFill>
            <a:srgbClr val="A9033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5</xdr:col>
      <xdr:colOff>473528</xdr:colOff>
      <xdr:row>11</xdr:row>
      <xdr:rowOff>300718</xdr:rowOff>
    </xdr:from>
    <xdr:to>
      <xdr:col>25</xdr:col>
      <xdr:colOff>121103</xdr:colOff>
      <xdr:row>14</xdr:row>
      <xdr:rowOff>13608</xdr:rowOff>
    </xdr:to>
    <xdr:grpSp>
      <xdr:nvGrpSpPr>
        <xdr:cNvPr id="11239" name="Groupe 6">
          <a:extLst>
            <a:ext uri="{FF2B5EF4-FFF2-40B4-BE49-F238E27FC236}">
              <a16:creationId xmlns:a16="http://schemas.microsoft.com/office/drawing/2014/main" id="{A7C7A923-5614-43C1-AAFF-B52A219BA718}"/>
            </a:ext>
          </a:extLst>
        </xdr:cNvPr>
        <xdr:cNvGrpSpPr>
          <a:grpSpLocks/>
        </xdr:cNvGrpSpPr>
      </xdr:nvGrpSpPr>
      <xdr:grpSpPr bwMode="auto">
        <a:xfrm>
          <a:off x="8406492" y="3852182"/>
          <a:ext cx="16642897" cy="583747"/>
          <a:chOff x="7524750" y="3333749"/>
          <a:chExt cx="15158357" cy="517072"/>
        </a:xfrm>
      </xdr:grpSpPr>
      <xdr:sp macro="" textlink="">
        <xdr:nvSpPr>
          <xdr:cNvPr id="10" name="Rectangle à coins arrondis 9">
            <a:extLst>
              <a:ext uri="{FF2B5EF4-FFF2-40B4-BE49-F238E27FC236}">
                <a16:creationId xmlns:a16="http://schemas.microsoft.com/office/drawing/2014/main" id="{3DE679D5-A674-4FC0-9022-9A54C54B2CC8}"/>
              </a:ext>
            </a:extLst>
          </xdr:cNvPr>
          <xdr:cNvSpPr/>
        </xdr:nvSpPr>
        <xdr:spPr>
          <a:xfrm>
            <a:off x="7524750" y="3333749"/>
            <a:ext cx="15035333" cy="517072"/>
          </a:xfrm>
          <a:prstGeom prst="round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sp macro="" textlink="">
        <xdr:nvSpPr>
          <xdr:cNvPr id="11" name="ZoneTexte 10">
            <a:extLst>
              <a:ext uri="{FF2B5EF4-FFF2-40B4-BE49-F238E27FC236}">
                <a16:creationId xmlns:a16="http://schemas.microsoft.com/office/drawing/2014/main" id="{0347601B-BAF7-4771-A6BD-DA8930C2AFD7}"/>
              </a:ext>
            </a:extLst>
          </xdr:cNvPr>
          <xdr:cNvSpPr txBox="1"/>
        </xdr:nvSpPr>
        <xdr:spPr>
          <a:xfrm>
            <a:off x="7814736" y="3393085"/>
            <a:ext cx="14868371" cy="43230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3200" b="1">
                <a:solidFill>
                  <a:schemeClr val="tx1">
                    <a:lumMod val="85000"/>
                    <a:lumOff val="15000"/>
                  </a:schemeClr>
                </a:solidFill>
                <a:latin typeface="Aparajita" panose="020B0604020202020204" pitchFamily="34" charset="0"/>
                <a:cs typeface="Aparajita" panose="020B0604020202020204" pitchFamily="34" charset="0"/>
              </a:rPr>
              <a:t>ESTIMATION DES CHARGES SOCIALES OBLIGATOIRES PAR RÉGIME DÉCLARATIF</a:t>
            </a:r>
          </a:p>
        </xdr:txBody>
      </xdr:sp>
    </xdr:grpSp>
    <xdr:clientData/>
  </xdr:twoCellAnchor>
  <xdr:twoCellAnchor>
    <xdr:from>
      <xdr:col>1</xdr:col>
      <xdr:colOff>228236</xdr:colOff>
      <xdr:row>19</xdr:row>
      <xdr:rowOff>244293</xdr:rowOff>
    </xdr:from>
    <xdr:to>
      <xdr:col>4</xdr:col>
      <xdr:colOff>663438</xdr:colOff>
      <xdr:row>26</xdr:row>
      <xdr:rowOff>290558</xdr:rowOff>
    </xdr:to>
    <xdr:grpSp>
      <xdr:nvGrpSpPr>
        <xdr:cNvPr id="11240" name="Groupe 1">
          <a:extLst>
            <a:ext uri="{FF2B5EF4-FFF2-40B4-BE49-F238E27FC236}">
              <a16:creationId xmlns:a16="http://schemas.microsoft.com/office/drawing/2014/main" id="{608F3EEB-5DF5-4EDA-9C74-6E0B4D120F4A}"/>
            </a:ext>
          </a:extLst>
        </xdr:cNvPr>
        <xdr:cNvGrpSpPr>
          <a:grpSpLocks/>
        </xdr:cNvGrpSpPr>
      </xdr:nvGrpSpPr>
      <xdr:grpSpPr bwMode="auto">
        <a:xfrm>
          <a:off x="1629772" y="6272257"/>
          <a:ext cx="5320166" cy="2454730"/>
          <a:chOff x="3390900" y="4320541"/>
          <a:chExt cx="6162675" cy="2560042"/>
        </a:xfrm>
      </xdr:grpSpPr>
      <xdr:pic>
        <xdr:nvPicPr>
          <xdr:cNvPr id="11249" name="Image 16">
            <a:extLst>
              <a:ext uri="{FF2B5EF4-FFF2-40B4-BE49-F238E27FC236}">
                <a16:creationId xmlns:a16="http://schemas.microsoft.com/office/drawing/2014/main" id="{11FF4DF3-6792-4153-BD31-FE7DD33AEB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lum bright="70000" contrast="-70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4951" y="4320541"/>
            <a:ext cx="2809875" cy="20438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8" name="ZoneTexte 17">
            <a:extLst>
              <a:ext uri="{FF2B5EF4-FFF2-40B4-BE49-F238E27FC236}">
                <a16:creationId xmlns:a16="http://schemas.microsoft.com/office/drawing/2014/main" id="{83B6A2D1-6925-44E2-BFCD-4BB76736E84A}"/>
              </a:ext>
            </a:extLst>
          </xdr:cNvPr>
          <xdr:cNvSpPr txBox="1"/>
        </xdr:nvSpPr>
        <xdr:spPr bwMode="auto">
          <a:xfrm>
            <a:off x="3390900" y="4818604"/>
            <a:ext cx="6162675" cy="2061979"/>
          </a:xfrm>
          <a:prstGeom prst="rect">
            <a:avLst/>
          </a:prstGeom>
          <a:noFill/>
          <a:ln w="9525" cmpd="sng">
            <a:noFill/>
          </a:ln>
          <a:effectLst/>
        </xdr:spPr>
        <xdr:txBody>
          <a:bodyPr vertOverflow="clip" horzOverflow="clip" wrap="square" rtlCol="0" anchor="t"/>
          <a:lstStyle/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800" b="1" i="0" u="sng" strike="noStrike" kern="0" cap="none" spc="0" normalizeH="0" baseline="0" noProof="0">
                <a:ln>
                  <a:noFill/>
                </a:ln>
                <a:solidFill>
                  <a:srgbClr val="C00000"/>
                </a:solidFill>
                <a:effectLst/>
                <a:uLnTx/>
                <a:uFillTx/>
                <a:latin typeface="Aparajita" panose="020B0604020202020204" pitchFamily="34" charset="0"/>
                <a:ea typeface="+mn-ea"/>
                <a:cs typeface="Aparajita" panose="020B0604020202020204" pitchFamily="34" charset="0"/>
              </a:rPr>
              <a:t>Avertissement</a:t>
            </a:r>
            <a:endParaRPr kumimoji="0" lang="fr-FR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parajita" panose="020B0604020202020204" pitchFamily="34" charset="0"/>
              <a:ea typeface="+mn-ea"/>
              <a:cs typeface="Aparajita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arajita" panose="020B0604020202020204" pitchFamily="34" charset="0"/>
                <a:ea typeface="+mn-ea"/>
                <a:cs typeface="Aparajita" panose="020B0604020202020204" pitchFamily="34" charset="0"/>
              </a:rPr>
              <a:t>Ce simulateur ne constitue qu’un outil d’approche et ne prétend pas être exhaustif. </a:t>
            </a:r>
          </a:p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arajita" panose="020B0604020202020204" pitchFamily="34" charset="0"/>
                <a:ea typeface="+mn-ea"/>
                <a:cs typeface="Aparajita" panose="020B0604020202020204" pitchFamily="34" charset="0"/>
              </a:rPr>
              <a:t>Les situations particulières sont à examiner au cas par cas</a:t>
            </a:r>
          </a:p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arajita" panose="020B0604020202020204" pitchFamily="34" charset="0"/>
              <a:ea typeface="+mn-ea"/>
              <a:cs typeface="Aparajita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fr-FR" sz="2000" b="1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arajita" panose="020B0604020202020204" pitchFamily="34" charset="0"/>
                <a:ea typeface="+mn-ea"/>
                <a:cs typeface="Aparajita" panose="020B0604020202020204" pitchFamily="34" charset="0"/>
              </a:rPr>
              <a:t>Se rapprocher de l'AGNMSM pour plus de renseignements</a:t>
            </a:r>
          </a:p>
          <a:p>
            <a:pPr marL="0" marR="0" lvl="0" indent="0" algn="ctr" defTabSz="914400" eaLnBrk="1" fontAlgn="auto" latinLnBrk="0" hangingPunct="1">
              <a:lnSpc>
                <a:spcPts val="22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fr-FR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parajita" panose="020B0604020202020204" pitchFamily="34" charset="0"/>
              <a:ea typeface="+mn-ea"/>
              <a:cs typeface="Aparajita" panose="020B0604020202020204" pitchFamily="34" charset="0"/>
            </a:endParaRPr>
          </a:p>
        </xdr:txBody>
      </xdr:sp>
    </xdr:grpSp>
    <xdr:clientData/>
  </xdr:twoCellAnchor>
  <xdr:twoCellAnchor>
    <xdr:from>
      <xdr:col>5</xdr:col>
      <xdr:colOff>470809</xdr:colOff>
      <xdr:row>5</xdr:row>
      <xdr:rowOff>133350</xdr:rowOff>
    </xdr:from>
    <xdr:to>
      <xdr:col>24</xdr:col>
      <xdr:colOff>711992</xdr:colOff>
      <xdr:row>6</xdr:row>
      <xdr:rowOff>27214</xdr:rowOff>
    </xdr:to>
    <xdr:grpSp>
      <xdr:nvGrpSpPr>
        <xdr:cNvPr id="11244" name="Groupe 6">
          <a:extLst>
            <a:ext uri="{FF2B5EF4-FFF2-40B4-BE49-F238E27FC236}">
              <a16:creationId xmlns:a16="http://schemas.microsoft.com/office/drawing/2014/main" id="{1B0608AD-CA4B-47F0-9BFA-1CB87C7DB309}"/>
            </a:ext>
          </a:extLst>
        </xdr:cNvPr>
        <xdr:cNvGrpSpPr>
          <a:grpSpLocks/>
        </xdr:cNvGrpSpPr>
      </xdr:nvGrpSpPr>
      <xdr:grpSpPr bwMode="auto">
        <a:xfrm>
          <a:off x="8403773" y="1412421"/>
          <a:ext cx="16516687" cy="478972"/>
          <a:chOff x="7450753" y="2720274"/>
          <a:chExt cx="15035333" cy="517072"/>
        </a:xfrm>
      </xdr:grpSpPr>
      <xdr:sp macro="" textlink="">
        <xdr:nvSpPr>
          <xdr:cNvPr id="21" name="Rectangle à coins arrondis 20">
            <a:extLst>
              <a:ext uri="{FF2B5EF4-FFF2-40B4-BE49-F238E27FC236}">
                <a16:creationId xmlns:a16="http://schemas.microsoft.com/office/drawing/2014/main" id="{0FA08D11-8AA0-4C37-90CE-0ACCE51C0EE5}"/>
              </a:ext>
            </a:extLst>
          </xdr:cNvPr>
          <xdr:cNvSpPr/>
        </xdr:nvSpPr>
        <xdr:spPr>
          <a:xfrm>
            <a:off x="7450753" y="2720274"/>
            <a:ext cx="15035333" cy="517072"/>
          </a:xfrm>
          <a:prstGeom prst="round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sp macro="" textlink="">
        <xdr:nvSpPr>
          <xdr:cNvPr id="23" name="ZoneTexte 22">
            <a:extLst>
              <a:ext uri="{FF2B5EF4-FFF2-40B4-BE49-F238E27FC236}">
                <a16:creationId xmlns:a16="http://schemas.microsoft.com/office/drawing/2014/main" id="{373298CA-ADA2-4A11-A538-5A1337CBAF77}"/>
              </a:ext>
            </a:extLst>
          </xdr:cNvPr>
          <xdr:cNvSpPr txBox="1"/>
        </xdr:nvSpPr>
        <xdr:spPr>
          <a:xfrm>
            <a:off x="7568078" y="2796930"/>
            <a:ext cx="14868371" cy="43433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fr-FR" sz="3200" b="1">
                <a:solidFill>
                  <a:schemeClr val="tx1">
                    <a:lumMod val="85000"/>
                    <a:lumOff val="15000"/>
                  </a:schemeClr>
                </a:solidFill>
                <a:latin typeface="Aparajita" panose="020B0604020202020204" pitchFamily="34" charset="0"/>
                <a:cs typeface="Aparajita" panose="020B0604020202020204" pitchFamily="34" charset="0"/>
              </a:rPr>
              <a:t>ESTIMATION DU R</a:t>
            </a:r>
            <a:r>
              <a:rPr kumimoji="0" lang="fr-FR" sz="3200" b="1" i="0" u="none" strike="noStrike" kern="0" cap="none" spc="0" normalizeH="0" baseline="0" noProof="0">
                <a:ln>
                  <a:noFill/>
                </a:ln>
                <a:solidFill>
                  <a:schemeClr val="tx1">
                    <a:lumMod val="85000"/>
                    <a:lumOff val="15000"/>
                  </a:schemeClr>
                </a:solidFill>
                <a:effectLst/>
                <a:uLnTx/>
                <a:uFillTx/>
                <a:latin typeface="Aparajita" panose="020B0604020202020204" pitchFamily="34" charset="0"/>
                <a:ea typeface="+mn-ea"/>
                <a:cs typeface="Aparajita" panose="020B0604020202020204" pitchFamily="34" charset="0"/>
              </a:rPr>
              <a:t>É</a:t>
            </a:r>
            <a:r>
              <a:rPr lang="fr-FR" sz="3200" b="1">
                <a:solidFill>
                  <a:schemeClr val="tx1">
                    <a:lumMod val="85000"/>
                    <a:lumOff val="15000"/>
                  </a:schemeClr>
                </a:solidFill>
                <a:latin typeface="Aparajita" panose="020B0604020202020204" pitchFamily="34" charset="0"/>
                <a:cs typeface="Aparajita" panose="020B0604020202020204" pitchFamily="34" charset="0"/>
              </a:rPr>
              <a:t>SULTAT FISCAL</a:t>
            </a:r>
          </a:p>
        </xdr:txBody>
      </xdr:sp>
    </xdr:grpSp>
    <xdr:clientData/>
  </xdr:twoCellAnchor>
  <xdr:twoCellAnchor>
    <xdr:from>
      <xdr:col>6</xdr:col>
      <xdr:colOff>54430</xdr:colOff>
      <xdr:row>25</xdr:row>
      <xdr:rowOff>108858</xdr:rowOff>
    </xdr:from>
    <xdr:to>
      <xdr:col>7</xdr:col>
      <xdr:colOff>544287</xdr:colOff>
      <xdr:row>27</xdr:row>
      <xdr:rowOff>108857</xdr:rowOff>
    </xdr:to>
    <xdr:sp macro="" textlink="">
      <xdr:nvSpPr>
        <xdr:cNvPr id="7" name="ZoneTexte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76A61E5-BAE4-4763-B57D-86CC48947AE6}"/>
            </a:ext>
          </a:extLst>
        </xdr:cNvPr>
        <xdr:cNvSpPr txBox="1"/>
      </xdr:nvSpPr>
      <xdr:spPr>
        <a:xfrm>
          <a:off x="8436430" y="8137072"/>
          <a:ext cx="1524000" cy="748392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>
              <a:latin typeface="Aparajita" panose="02020603050405020304" pitchFamily="18" charset="0"/>
              <a:cs typeface="Aparajita" panose="02020603050405020304" pitchFamily="18" charset="0"/>
            </a:rPr>
            <a:t>Estimation</a:t>
          </a:r>
          <a:r>
            <a:rPr lang="fr-FR" sz="2000" baseline="0">
              <a:latin typeface="Aparajita" panose="02020603050405020304" pitchFamily="18" charset="0"/>
              <a:cs typeface="Aparajita" panose="02020603050405020304" pitchFamily="18" charset="0"/>
            </a:rPr>
            <a:t> </a:t>
          </a:r>
        </a:p>
        <a:p>
          <a:pPr algn="ctr"/>
          <a:r>
            <a:rPr lang="fr-FR" sz="2000" baseline="0">
              <a:latin typeface="Aparajita" panose="02020603050405020304" pitchFamily="18" charset="0"/>
              <a:cs typeface="Aparajita" panose="02020603050405020304" pitchFamily="18" charset="0"/>
            </a:rPr>
            <a:t>Points Retraite</a:t>
          </a:r>
        </a:p>
      </xdr:txBody>
    </xdr:sp>
    <xdr:clientData/>
  </xdr:twoCellAnchor>
  <xdr:twoCellAnchor>
    <xdr:from>
      <xdr:col>17</xdr:col>
      <xdr:colOff>204106</xdr:colOff>
      <xdr:row>25</xdr:row>
      <xdr:rowOff>149678</xdr:rowOff>
    </xdr:from>
    <xdr:to>
      <xdr:col>19</xdr:col>
      <xdr:colOff>552156</xdr:colOff>
      <xdr:row>27</xdr:row>
      <xdr:rowOff>149678</xdr:rowOff>
    </xdr:to>
    <xdr:sp macro="" textlink="">
      <xdr:nvSpPr>
        <xdr:cNvPr id="24" name="ZoneText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27AE90-BFBC-4583-BA7C-8A935B712118}"/>
            </a:ext>
          </a:extLst>
        </xdr:cNvPr>
        <xdr:cNvSpPr txBox="1"/>
      </xdr:nvSpPr>
      <xdr:spPr>
        <a:xfrm>
          <a:off x="19762106" y="8230053"/>
          <a:ext cx="1522800" cy="746125"/>
        </a:xfrm>
        <a:prstGeom prst="rect">
          <a:avLst/>
        </a:prstGeom>
        <a:ln/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000">
              <a:latin typeface="Aparajita" panose="02020603050405020304" pitchFamily="18" charset="0"/>
              <a:cs typeface="Aparajita" panose="02020603050405020304" pitchFamily="18" charset="0"/>
            </a:rPr>
            <a:t>Estimation</a:t>
          </a:r>
          <a:r>
            <a:rPr lang="fr-FR" sz="2000" baseline="0">
              <a:latin typeface="Aparajita" panose="02020603050405020304" pitchFamily="18" charset="0"/>
              <a:cs typeface="Aparajita" panose="02020603050405020304" pitchFamily="18" charset="0"/>
            </a:rPr>
            <a:t> </a:t>
          </a:r>
        </a:p>
        <a:p>
          <a:pPr algn="ctr"/>
          <a:r>
            <a:rPr lang="fr-FR" sz="2000" baseline="0">
              <a:latin typeface="Aparajita" panose="02020603050405020304" pitchFamily="18" charset="0"/>
              <a:cs typeface="Aparajita" panose="02020603050405020304" pitchFamily="18" charset="0"/>
            </a:rPr>
            <a:t>Points Retraite</a:t>
          </a:r>
        </a:p>
      </xdr:txBody>
    </xdr:sp>
    <xdr:clientData/>
  </xdr:twoCellAnchor>
  <xdr:twoCellAnchor>
    <xdr:from>
      <xdr:col>11</xdr:col>
      <xdr:colOff>170213</xdr:colOff>
      <xdr:row>7</xdr:row>
      <xdr:rowOff>2969</xdr:rowOff>
    </xdr:from>
    <xdr:to>
      <xdr:col>11</xdr:col>
      <xdr:colOff>170213</xdr:colOff>
      <xdr:row>11</xdr:row>
      <xdr:rowOff>96983</xdr:rowOff>
    </xdr:to>
    <xdr:cxnSp macro="">
      <xdr:nvCxnSpPr>
        <xdr:cNvPr id="5" name="Connecteur droit 4">
          <a:extLst>
            <a:ext uri="{FF2B5EF4-FFF2-40B4-BE49-F238E27FC236}">
              <a16:creationId xmlns:a16="http://schemas.microsoft.com/office/drawing/2014/main" id="{C5A25270-8315-EB9B-FE5D-D6B5DAD6DF84}"/>
            </a:ext>
          </a:extLst>
        </xdr:cNvPr>
        <xdr:cNvCxnSpPr/>
      </xdr:nvCxnSpPr>
      <xdr:spPr>
        <a:xfrm>
          <a:off x="14093042" y="2005940"/>
          <a:ext cx="0" cy="1650672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354584</xdr:colOff>
      <xdr:row>7</xdr:row>
      <xdr:rowOff>1371</xdr:rowOff>
    </xdr:from>
    <xdr:to>
      <xdr:col>16</xdr:col>
      <xdr:colOff>354584</xdr:colOff>
      <xdr:row>11</xdr:row>
      <xdr:rowOff>95385</xdr:rowOff>
    </xdr:to>
    <xdr:cxnSp macro="">
      <xdr:nvCxnSpPr>
        <xdr:cNvPr id="12" name="Connecteur droit 11">
          <a:extLst>
            <a:ext uri="{FF2B5EF4-FFF2-40B4-BE49-F238E27FC236}">
              <a16:creationId xmlns:a16="http://schemas.microsoft.com/office/drawing/2014/main" id="{128B2BAD-ADB8-46F4-862E-247FBA223092}"/>
            </a:ext>
          </a:extLst>
        </xdr:cNvPr>
        <xdr:cNvCxnSpPr/>
      </xdr:nvCxnSpPr>
      <xdr:spPr>
        <a:xfrm>
          <a:off x="19807355" y="2004342"/>
          <a:ext cx="0" cy="1650672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169984</xdr:colOff>
      <xdr:row>14</xdr:row>
      <xdr:rowOff>149507</xdr:rowOff>
    </xdr:from>
    <xdr:to>
      <xdr:col>11</xdr:col>
      <xdr:colOff>170213</xdr:colOff>
      <xdr:row>27</xdr:row>
      <xdr:rowOff>316707</xdr:rowOff>
    </xdr:to>
    <xdr:cxnSp macro="">
      <xdr:nvCxnSpPr>
        <xdr:cNvPr id="13" name="Connecteur droit 12">
          <a:extLst>
            <a:ext uri="{FF2B5EF4-FFF2-40B4-BE49-F238E27FC236}">
              <a16:creationId xmlns:a16="http://schemas.microsoft.com/office/drawing/2014/main" id="{DAD6664F-5BD4-4A00-95B0-D3D9BDE039DB}"/>
            </a:ext>
          </a:extLst>
        </xdr:cNvPr>
        <xdr:cNvCxnSpPr/>
      </xdr:nvCxnSpPr>
      <xdr:spPr>
        <a:xfrm flipH="1">
          <a:off x="14203484" y="4594507"/>
          <a:ext cx="229" cy="4536000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357553</xdr:colOff>
      <xdr:row>14</xdr:row>
      <xdr:rowOff>140676</xdr:rowOff>
    </xdr:from>
    <xdr:to>
      <xdr:col>16</xdr:col>
      <xdr:colOff>357553</xdr:colOff>
      <xdr:row>27</xdr:row>
      <xdr:rowOff>307876</xdr:rowOff>
    </xdr:to>
    <xdr:cxnSp macro="">
      <xdr:nvCxnSpPr>
        <xdr:cNvPr id="15" name="Connecteur droit 14">
          <a:extLst>
            <a:ext uri="{FF2B5EF4-FFF2-40B4-BE49-F238E27FC236}">
              <a16:creationId xmlns:a16="http://schemas.microsoft.com/office/drawing/2014/main" id="{983E284B-15BA-4F67-8AD4-3CF8C81E116F}"/>
            </a:ext>
          </a:extLst>
        </xdr:cNvPr>
        <xdr:cNvCxnSpPr/>
      </xdr:nvCxnSpPr>
      <xdr:spPr>
        <a:xfrm>
          <a:off x="20055253" y="4585676"/>
          <a:ext cx="0" cy="4536000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54429</xdr:rowOff>
    </xdr:from>
    <xdr:to>
      <xdr:col>18</xdr:col>
      <xdr:colOff>0</xdr:colOff>
      <xdr:row>3</xdr:row>
      <xdr:rowOff>40821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C811239-4456-4EB7-951E-8913E005B161}"/>
            </a:ext>
          </a:extLst>
        </xdr:cNvPr>
        <xdr:cNvSpPr txBox="1"/>
      </xdr:nvSpPr>
      <xdr:spPr>
        <a:xfrm>
          <a:off x="0" y="54429"/>
          <a:ext cx="12967607" cy="557892"/>
        </a:xfrm>
        <a:prstGeom prst="rect">
          <a:avLst/>
        </a:prstGeom>
        <a:solidFill>
          <a:srgbClr val="A90332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4400" b="1" baseline="0">
              <a:solidFill>
                <a:schemeClr val="bg1"/>
              </a:solidFill>
              <a:latin typeface="Aparajita" panose="020B0604020202020204" pitchFamily="34" charset="0"/>
              <a:cs typeface="Aparajita" panose="020B0604020202020204" pitchFamily="34" charset="0"/>
            </a:rPr>
            <a:t>Estimation droits retraite</a:t>
          </a:r>
          <a:endParaRPr lang="fr-FR" sz="4400" b="1">
            <a:solidFill>
              <a:schemeClr val="bg1"/>
            </a:solidFill>
            <a:latin typeface="Aparajita" panose="020B0604020202020204" pitchFamily="34" charset="0"/>
            <a:cs typeface="Aparajita" panose="020B0604020202020204" pitchFamily="34" charset="0"/>
          </a:endParaRPr>
        </a:p>
      </xdr:txBody>
    </xdr:sp>
    <xdr:clientData/>
  </xdr:twoCellAnchor>
  <xdr:twoCellAnchor>
    <xdr:from>
      <xdr:col>0</xdr:col>
      <xdr:colOff>1181100</xdr:colOff>
      <xdr:row>25</xdr:row>
      <xdr:rowOff>28575</xdr:rowOff>
    </xdr:from>
    <xdr:to>
      <xdr:col>15</xdr:col>
      <xdr:colOff>285750</xdr:colOff>
      <xdr:row>27</xdr:row>
      <xdr:rowOff>133350</xdr:rowOff>
    </xdr:to>
    <xdr:grpSp>
      <xdr:nvGrpSpPr>
        <xdr:cNvPr id="11485" name="Groupe 6">
          <a:extLst>
            <a:ext uri="{FF2B5EF4-FFF2-40B4-BE49-F238E27FC236}">
              <a16:creationId xmlns:a16="http://schemas.microsoft.com/office/drawing/2014/main" id="{75A3CFF6-AB62-41A4-87BB-FD9D7E6B62AA}"/>
            </a:ext>
          </a:extLst>
        </xdr:cNvPr>
        <xdr:cNvGrpSpPr>
          <a:grpSpLocks/>
        </xdr:cNvGrpSpPr>
      </xdr:nvGrpSpPr>
      <xdr:grpSpPr bwMode="auto">
        <a:xfrm>
          <a:off x="1181100" y="5022396"/>
          <a:ext cx="13514614" cy="485775"/>
          <a:chOff x="7524750" y="3333749"/>
          <a:chExt cx="15035333" cy="517072"/>
        </a:xfrm>
      </xdr:grpSpPr>
      <xdr:sp macro="" textlink="">
        <xdr:nvSpPr>
          <xdr:cNvPr id="4" name="Rectangle à coins arrondis 9">
            <a:extLst>
              <a:ext uri="{FF2B5EF4-FFF2-40B4-BE49-F238E27FC236}">
                <a16:creationId xmlns:a16="http://schemas.microsoft.com/office/drawing/2014/main" id="{FD9F2A15-DB99-450D-A123-A6A8C08A3C84}"/>
              </a:ext>
            </a:extLst>
          </xdr:cNvPr>
          <xdr:cNvSpPr/>
        </xdr:nvSpPr>
        <xdr:spPr>
          <a:xfrm>
            <a:off x="7524750" y="3333749"/>
            <a:ext cx="15035333" cy="517072"/>
          </a:xfrm>
          <a:prstGeom prst="roundRect">
            <a:avLst/>
          </a:prstGeom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endParaRPr lang="fr-FR"/>
          </a:p>
        </xdr:txBody>
      </xdr:sp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5643B94F-0CC9-497E-BBE5-41B3EBCD2748}"/>
              </a:ext>
            </a:extLst>
          </xdr:cNvPr>
          <xdr:cNvSpPr txBox="1"/>
        </xdr:nvSpPr>
        <xdr:spPr>
          <a:xfrm>
            <a:off x="7807873" y="3394581"/>
            <a:ext cx="13977346" cy="4258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fr-FR" sz="2400">
                <a:latin typeface="Aparajita" panose="020B0604020202020204" pitchFamily="34" charset="0"/>
                <a:cs typeface="Aparajita" panose="020B0604020202020204" pitchFamily="34" charset="0"/>
              </a:rPr>
              <a:t>ESTIMATION DES POINTS RETRAITE</a:t>
            </a:r>
            <a:r>
              <a:rPr lang="fr-FR" sz="2400" baseline="0">
                <a:latin typeface="Aparajita" panose="020B0604020202020204" pitchFamily="34" charset="0"/>
                <a:cs typeface="Aparajita" panose="020B0604020202020204" pitchFamily="34" charset="0"/>
              </a:rPr>
              <a:t> ET NB DE TRIMESTRES </a:t>
            </a:r>
            <a:r>
              <a:rPr lang="fr-FR" sz="2400">
                <a:latin typeface="Aparajita" panose="020B0604020202020204" pitchFamily="34" charset="0"/>
                <a:cs typeface="Aparajita" panose="020B0604020202020204" pitchFamily="34" charset="0"/>
              </a:rPr>
              <a:t>PAR RÉGIME DÉCLARATIF</a:t>
            </a:r>
          </a:p>
        </xdr:txBody>
      </xdr:sp>
    </xdr:grpSp>
    <xdr:clientData/>
  </xdr:twoCellAnchor>
  <xdr:twoCellAnchor>
    <xdr:from>
      <xdr:col>18</xdr:col>
      <xdr:colOff>122464</xdr:colOff>
      <xdr:row>20</xdr:row>
      <xdr:rowOff>13607</xdr:rowOff>
    </xdr:from>
    <xdr:to>
      <xdr:col>21</xdr:col>
      <xdr:colOff>482296</xdr:colOff>
      <xdr:row>31</xdr:row>
      <xdr:rowOff>152511</xdr:rowOff>
    </xdr:to>
    <xdr:sp macro="" textlink="">
      <xdr:nvSpPr>
        <xdr:cNvPr id="6" name="ZoneText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B5BBA7-D376-4B06-83CE-AEB066B3F047}"/>
            </a:ext>
          </a:extLst>
        </xdr:cNvPr>
        <xdr:cNvSpPr txBox="1"/>
      </xdr:nvSpPr>
      <xdr:spPr>
        <a:xfrm>
          <a:off x="12192000" y="4027714"/>
          <a:ext cx="2645832" cy="1853404"/>
        </a:xfrm>
        <a:prstGeom prst="rect">
          <a:avLst/>
        </a:prstGeom>
        <a:ln/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 prst="angle"/>
        </a:sp3d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2800" b="1">
              <a:latin typeface="Aparajita" panose="020B0604020202020204" pitchFamily="34" charset="0"/>
              <a:cs typeface="Aparajita" panose="020B0604020202020204" pitchFamily="34" charset="0"/>
            </a:rPr>
            <a:t>RETOUR</a:t>
          </a:r>
          <a:endParaRPr lang="fr-FR" sz="3000" b="1" baseline="0">
            <a:latin typeface="Aparajita" panose="020B0604020202020204" pitchFamily="34" charset="0"/>
            <a:cs typeface="Aparajita" panose="020B0604020202020204" pitchFamily="34" charset="0"/>
          </a:endParaRPr>
        </a:p>
        <a:p>
          <a:pPr algn="ctr"/>
          <a:r>
            <a:rPr lang="fr-FR" sz="2800" b="1" baseline="0">
              <a:latin typeface="Aparajita" panose="020B0604020202020204" pitchFamily="34" charset="0"/>
              <a:cs typeface="Aparajita" panose="020B0604020202020204" pitchFamily="34" charset="0"/>
            </a:rPr>
            <a:t>AU</a:t>
          </a:r>
          <a:endParaRPr lang="fr-FR" sz="3000" b="1" baseline="0">
            <a:latin typeface="Aparajita" panose="020B0604020202020204" pitchFamily="34" charset="0"/>
            <a:cs typeface="Aparajita" panose="020B0604020202020204" pitchFamily="34" charset="0"/>
          </a:endParaRPr>
        </a:p>
        <a:p>
          <a:pPr algn="ctr"/>
          <a:r>
            <a:rPr lang="fr-FR" sz="2800" b="1" baseline="0">
              <a:latin typeface="Aparajita" panose="020B0604020202020204" pitchFamily="34" charset="0"/>
              <a:cs typeface="Aparajita" panose="020B0604020202020204" pitchFamily="34" charset="0"/>
            </a:rPr>
            <a:t>SIMULATEUR</a:t>
          </a:r>
          <a:endParaRPr lang="fr-FR" sz="3000" b="1">
            <a:latin typeface="Aparajita" panose="020B0604020202020204" pitchFamily="34" charset="0"/>
            <a:cs typeface="Aparajita" panose="020B0604020202020204" pitchFamily="34" charset="0"/>
          </a:endParaRPr>
        </a:p>
      </xdr:txBody>
    </xdr:sp>
    <xdr:clientData/>
  </xdr:twoCellAnchor>
  <xdr:twoCellAnchor>
    <xdr:from>
      <xdr:col>10</xdr:col>
      <xdr:colOff>362857</xdr:colOff>
      <xdr:row>29</xdr:row>
      <xdr:rowOff>21168</xdr:rowOff>
    </xdr:from>
    <xdr:to>
      <xdr:col>10</xdr:col>
      <xdr:colOff>363086</xdr:colOff>
      <xdr:row>48</xdr:row>
      <xdr:rowOff>75596</xdr:rowOff>
    </xdr:to>
    <xdr:cxnSp macro="">
      <xdr:nvCxnSpPr>
        <xdr:cNvPr id="9" name="Connecteur droit 8">
          <a:extLst>
            <a:ext uri="{FF2B5EF4-FFF2-40B4-BE49-F238E27FC236}">
              <a16:creationId xmlns:a16="http://schemas.microsoft.com/office/drawing/2014/main" id="{0140CCA7-4507-4B20-958C-2373DF3ECB5F}"/>
            </a:ext>
          </a:extLst>
        </xdr:cNvPr>
        <xdr:cNvCxnSpPr/>
      </xdr:nvCxnSpPr>
      <xdr:spPr>
        <a:xfrm flipH="1">
          <a:off x="10194774" y="5767918"/>
          <a:ext cx="229" cy="5748261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355297</xdr:colOff>
      <xdr:row>29</xdr:row>
      <xdr:rowOff>19655</xdr:rowOff>
    </xdr:from>
    <xdr:to>
      <xdr:col>5</xdr:col>
      <xdr:colOff>355526</xdr:colOff>
      <xdr:row>48</xdr:row>
      <xdr:rowOff>74083</xdr:rowOff>
    </xdr:to>
    <xdr:cxnSp macro="">
      <xdr:nvCxnSpPr>
        <xdr:cNvPr id="11" name="Connecteur droit 10">
          <a:extLst>
            <a:ext uri="{FF2B5EF4-FFF2-40B4-BE49-F238E27FC236}">
              <a16:creationId xmlns:a16="http://schemas.microsoft.com/office/drawing/2014/main" id="{772597AC-F2C1-47E2-B7FA-79C9D06613A0}"/>
            </a:ext>
          </a:extLst>
        </xdr:cNvPr>
        <xdr:cNvCxnSpPr/>
      </xdr:nvCxnSpPr>
      <xdr:spPr>
        <a:xfrm flipH="1">
          <a:off x="5594047" y="5766405"/>
          <a:ext cx="229" cy="5748261"/>
        </a:xfrm>
        <a:prstGeom prst="line">
          <a:avLst/>
        </a:prstGeom>
        <a:ln>
          <a:solidFill>
            <a:schemeClr val="tx1">
              <a:lumMod val="65000"/>
              <a:lumOff val="35000"/>
            </a:schemeClr>
          </a:solidFill>
        </a:ln>
        <a:effectLst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A90332"/>
  </sheetPr>
  <dimension ref="A1:AJ83"/>
  <sheetViews>
    <sheetView showGridLines="0" tabSelected="1" zoomScale="70" zoomScaleNormal="70" workbookViewId="0">
      <selection activeCell="E8" sqref="E8"/>
    </sheetView>
  </sheetViews>
  <sheetFormatPr baseColWidth="10" defaultColWidth="0" defaultRowHeight="0" customHeight="1" zeroHeight="1" x14ac:dyDescent="0.25"/>
  <cols>
    <col min="1" max="1" width="21" style="88" customWidth="1"/>
    <col min="2" max="2" width="28.140625" style="88" customWidth="1"/>
    <col min="3" max="3" width="24.28515625" style="88" customWidth="1"/>
    <col min="4" max="4" width="20.85546875" style="88" customWidth="1"/>
    <col min="5" max="5" width="24.7109375" style="88" customWidth="1"/>
    <col min="6" max="6" width="8" style="88" customWidth="1"/>
    <col min="7" max="7" width="15.5703125" style="88" customWidth="1"/>
    <col min="8" max="8" width="20.5703125" style="88" customWidth="1"/>
    <col min="9" max="9" width="17.140625" style="88" customWidth="1"/>
    <col min="10" max="10" width="23.5703125" style="88" customWidth="1"/>
    <col min="11" max="11" width="3" style="88" customWidth="1"/>
    <col min="12" max="12" width="7.28515625" style="88" customWidth="1"/>
    <col min="13" max="13" width="15.5703125" style="88" customWidth="1"/>
    <col min="14" max="14" width="20.5703125" style="88" customWidth="1"/>
    <col min="15" max="15" width="17.140625" style="88" customWidth="1"/>
    <col min="16" max="16" width="25.140625" style="88" customWidth="1"/>
    <col min="17" max="17" width="9.5703125" style="88" customWidth="1"/>
    <col min="18" max="19" width="8.85546875" style="88" customWidth="1"/>
    <col min="20" max="20" width="10" style="88" customWidth="1"/>
    <col min="21" max="21" width="4.42578125" style="88" customWidth="1"/>
    <col min="22" max="23" width="8.85546875" style="88" customWidth="1"/>
    <col min="24" max="24" width="15.140625" style="88" customWidth="1"/>
    <col min="25" max="25" width="6.85546875" style="88" customWidth="1"/>
    <col min="26" max="26" width="3.7109375" style="88" customWidth="1"/>
    <col min="27" max="27" width="2.85546875" customWidth="1"/>
    <col min="28" max="28" width="1.5703125" hidden="1" customWidth="1"/>
    <col min="29" max="29" width="3.140625" hidden="1" customWidth="1"/>
    <col min="30" max="30" width="2.7109375" hidden="1" customWidth="1"/>
    <col min="31" max="31" width="5.42578125" hidden="1" customWidth="1"/>
    <col min="32" max="36" width="0" hidden="1" customWidth="1"/>
    <col min="37" max="16384" width="11.42578125" hidden="1"/>
  </cols>
  <sheetData>
    <row r="1" spans="1:36" ht="15.75" customHeight="1" thickBot="1" x14ac:dyDescent="0.35">
      <c r="A1"/>
      <c r="B1"/>
      <c r="C1"/>
      <c r="D1"/>
      <c r="E1" s="29" t="s">
        <v>52</v>
      </c>
      <c r="F1"/>
      <c r="G1" s="31"/>
      <c r="H1"/>
      <c r="I1"/>
      <c r="J1"/>
      <c r="K1" s="152"/>
      <c r="L1" s="152"/>
      <c r="M1"/>
      <c r="N1"/>
      <c r="O1"/>
      <c r="P1"/>
      <c r="Q1" s="152"/>
      <c r="R1"/>
      <c r="S1"/>
      <c r="T1"/>
      <c r="U1"/>
      <c r="V1"/>
      <c r="W1"/>
      <c r="X1"/>
      <c r="Y1"/>
      <c r="Z1"/>
    </row>
    <row r="2" spans="1:36" ht="14.25" customHeight="1" thickTop="1" x14ac:dyDescent="0.25">
      <c r="A2"/>
      <c r="B2"/>
      <c r="C2"/>
      <c r="D2"/>
      <c r="E2" s="29" t="s">
        <v>45</v>
      </c>
      <c r="F2"/>
      <c r="G2" s="134" t="s">
        <v>38</v>
      </c>
      <c r="H2" s="135"/>
      <c r="I2" s="135"/>
      <c r="J2" s="136"/>
      <c r="K2" s="152"/>
      <c r="L2" s="152"/>
      <c r="M2" s="143" t="str">
        <f>IF(E8&gt;77700,"ATTENTION","MICRO-BNC")</f>
        <v>MICRO-BNC</v>
      </c>
      <c r="N2" s="144"/>
      <c r="O2" s="144"/>
      <c r="P2" s="145"/>
      <c r="Q2" s="152"/>
      <c r="R2" s="143" t="str">
        <f>IF(E8="","MICRO-ENTREPRENEUR",IF(E8&lt;77700,"MICRO-ENTREPRENEUR","ATTENTION"))</f>
        <v>MICRO-ENTREPRENEUR</v>
      </c>
      <c r="S2" s="144"/>
      <c r="T2" s="144"/>
      <c r="U2" s="144"/>
      <c r="V2" s="144"/>
      <c r="W2" s="144"/>
      <c r="X2" s="144"/>
      <c r="Y2" s="145"/>
      <c r="Z2"/>
    </row>
    <row r="3" spans="1:36" ht="13.5" customHeight="1" x14ac:dyDescent="0.25">
      <c r="A3"/>
      <c r="B3"/>
      <c r="C3"/>
      <c r="D3"/>
      <c r="E3" s="29"/>
      <c r="F3" s="34">
        <v>0.05</v>
      </c>
      <c r="G3" s="137"/>
      <c r="H3" s="138"/>
      <c r="I3" s="138"/>
      <c r="J3" s="139"/>
      <c r="K3" s="153"/>
      <c r="L3" s="154"/>
      <c r="M3" s="146"/>
      <c r="N3" s="147"/>
      <c r="O3" s="147"/>
      <c r="P3" s="148"/>
      <c r="Q3" s="152"/>
      <c r="R3" s="146"/>
      <c r="S3" s="147"/>
      <c r="T3" s="147"/>
      <c r="U3" s="147"/>
      <c r="V3" s="147"/>
      <c r="W3" s="147"/>
      <c r="X3" s="147"/>
      <c r="Y3" s="148"/>
      <c r="Z3"/>
    </row>
    <row r="4" spans="1:36" ht="10.5" customHeight="1" x14ac:dyDescent="0.3">
      <c r="A4"/>
      <c r="B4"/>
      <c r="C4"/>
      <c r="D4"/>
      <c r="E4" s="30"/>
      <c r="F4" s="35">
        <v>0.1</v>
      </c>
      <c r="G4" s="137"/>
      <c r="H4" s="138"/>
      <c r="I4" s="138"/>
      <c r="J4" s="139"/>
      <c r="K4" s="153"/>
      <c r="L4" s="154"/>
      <c r="M4" s="146"/>
      <c r="N4" s="147"/>
      <c r="O4" s="147"/>
      <c r="P4" s="148"/>
      <c r="Q4" s="152"/>
      <c r="R4" s="146"/>
      <c r="S4" s="147"/>
      <c r="T4" s="147"/>
      <c r="U4" s="147"/>
      <c r="V4" s="147"/>
      <c r="W4" s="147"/>
      <c r="X4" s="147"/>
      <c r="Y4" s="148"/>
      <c r="Z4"/>
      <c r="AA4" s="1"/>
    </row>
    <row r="5" spans="1:36" ht="46.9" customHeight="1" thickBot="1" x14ac:dyDescent="0.3">
      <c r="A5"/>
      <c r="B5"/>
      <c r="C5"/>
      <c r="D5"/>
      <c r="E5"/>
      <c r="F5" s="34">
        <v>0.15</v>
      </c>
      <c r="G5" s="140"/>
      <c r="H5" s="141"/>
      <c r="I5" s="141"/>
      <c r="J5" s="142"/>
      <c r="K5" s="152"/>
      <c r="L5" s="152"/>
      <c r="M5" s="149"/>
      <c r="N5" s="150"/>
      <c r="O5" s="150"/>
      <c r="P5" s="151"/>
      <c r="Q5" s="78"/>
      <c r="R5" s="149"/>
      <c r="S5" s="150"/>
      <c r="T5" s="150"/>
      <c r="U5" s="150"/>
      <c r="V5" s="150"/>
      <c r="W5" s="150"/>
      <c r="X5" s="150"/>
      <c r="Y5" s="151"/>
      <c r="Z5"/>
      <c r="AA5" s="2"/>
    </row>
    <row r="6" spans="1:36" ht="46.5" customHeight="1" thickTop="1" thickBot="1" x14ac:dyDescent="0.35">
      <c r="A6" s="72" t="s">
        <v>6</v>
      </c>
      <c r="B6" s="73" t="s">
        <v>54</v>
      </c>
      <c r="C6" s="3"/>
      <c r="D6" s="86" t="s">
        <v>4</v>
      </c>
      <c r="E6" s="81" t="s">
        <v>45</v>
      </c>
      <c r="F6" s="35">
        <v>0.2</v>
      </c>
      <c r="G6" s="2"/>
      <c r="H6" s="2"/>
      <c r="I6" s="2"/>
      <c r="J6" s="2"/>
      <c r="K6" s="162"/>
      <c r="L6" s="163"/>
      <c r="M6"/>
      <c r="N6"/>
      <c r="O6"/>
      <c r="P6"/>
      <c r="Q6" s="80"/>
      <c r="R6"/>
      <c r="S6"/>
      <c r="T6"/>
      <c r="U6"/>
      <c r="V6"/>
      <c r="W6"/>
      <c r="X6"/>
      <c r="Y6"/>
      <c r="Z6"/>
      <c r="AA6" s="2"/>
    </row>
    <row r="7" spans="1:36" ht="12" customHeight="1" thickBot="1" x14ac:dyDescent="0.55000000000000004">
      <c r="A7" s="6"/>
      <c r="B7" s="7"/>
      <c r="C7" s="8"/>
      <c r="D7" s="9"/>
      <c r="E7" s="10"/>
      <c r="F7" s="34">
        <v>0.25</v>
      </c>
      <c r="G7"/>
      <c r="H7"/>
      <c r="I7"/>
      <c r="J7" s="23"/>
      <c r="K7" s="163"/>
      <c r="L7" s="163"/>
      <c r="M7" s="42"/>
      <c r="N7" s="42"/>
      <c r="O7" s="42"/>
      <c r="P7"/>
      <c r="Q7" s="78"/>
      <c r="R7"/>
      <c r="S7" s="43"/>
      <c r="T7" s="43"/>
      <c r="U7" s="43"/>
      <c r="V7" s="43"/>
      <c r="W7" s="43"/>
      <c r="X7"/>
      <c r="Y7"/>
      <c r="Z7"/>
      <c r="AA7" s="2"/>
    </row>
    <row r="8" spans="1:36" ht="46.9" customHeight="1" thickBot="1" x14ac:dyDescent="0.3">
      <c r="A8" s="11" t="s">
        <v>6</v>
      </c>
      <c r="B8" s="117" t="s">
        <v>8</v>
      </c>
      <c r="C8" s="118"/>
      <c r="D8" s="85" t="s">
        <v>4</v>
      </c>
      <c r="E8" s="74"/>
      <c r="F8" s="35">
        <v>0.3</v>
      </c>
      <c r="G8" s="112" t="s">
        <v>55</v>
      </c>
      <c r="H8" s="112"/>
      <c r="I8" s="112"/>
      <c r="J8" s="69" t="str">
        <f>IF(OR(E8="",E8&lt;0),"",E8*E12)</f>
        <v/>
      </c>
      <c r="K8" s="87"/>
      <c r="L8" s="77"/>
      <c r="M8" s="112" t="str">
        <f>IF(E8&gt;77700,"RECETTES &gt; 77 700 €","ABATTEMENT de 34%")</f>
        <v>ABATTEMENT de 34%</v>
      </c>
      <c r="N8" s="112"/>
      <c r="O8" s="112"/>
      <c r="P8" s="69" t="str">
        <f>IF(AND(E8="",E6="Non"),"",IF(E8&lt;305,E8,IF(E8&lt;897,305,IF(E8&lt;=77700,E8*0.34,""))))</f>
        <v/>
      </c>
      <c r="Q8" s="159"/>
      <c r="R8" s="157" t="str">
        <f>IF(E8&lt;=77700,"ABATTEMENT de 34%","RECETTES &gt; 77 700 €")</f>
        <v>ABATTEMENT de 34%</v>
      </c>
      <c r="S8" s="157"/>
      <c r="T8" s="157"/>
      <c r="U8" s="157"/>
      <c r="V8" s="157"/>
      <c r="W8" s="157"/>
      <c r="X8" s="116" t="str">
        <f>IF(OR(E8="",E8&lt;0),"",IF(E8&lt;305,E8,IF(E8&lt;897,305,IF(OR(E8&lt;77700,E8=77700),E8*34/100,""))))</f>
        <v/>
      </c>
      <c r="Y8" s="116"/>
      <c r="Z8"/>
      <c r="AA8" s="2"/>
    </row>
    <row r="9" spans="1:36" ht="9.75" customHeight="1" thickBot="1" x14ac:dyDescent="0.55000000000000004">
      <c r="A9" s="6"/>
      <c r="B9" s="8"/>
      <c r="C9" s="8"/>
      <c r="D9" s="9"/>
      <c r="E9" s="12"/>
      <c r="F9" s="34">
        <v>0.35</v>
      </c>
      <c r="G9"/>
      <c r="H9"/>
      <c r="I9"/>
      <c r="J9" s="23"/>
      <c r="K9" s="77"/>
      <c r="L9" s="77"/>
      <c r="M9" s="110"/>
      <c r="N9" s="110"/>
      <c r="O9" s="110"/>
      <c r="P9" s="47"/>
      <c r="Q9" s="152"/>
      <c r="R9" s="23"/>
      <c r="S9" s="110" t="str">
        <f>IF(E8&lt;=77700,"","=")</f>
        <v/>
      </c>
      <c r="T9" s="110"/>
      <c r="U9" s="110"/>
      <c r="V9" s="110"/>
      <c r="W9" s="110"/>
      <c r="X9"/>
      <c r="Y9"/>
      <c r="Z9"/>
      <c r="AA9" s="2"/>
    </row>
    <row r="10" spans="1:36" ht="54" customHeight="1" thickBot="1" x14ac:dyDescent="0.3">
      <c r="A10" s="11" t="s">
        <v>6</v>
      </c>
      <c r="B10" s="117" t="s">
        <v>53</v>
      </c>
      <c r="C10" s="118"/>
      <c r="D10" s="85" t="s">
        <v>4</v>
      </c>
      <c r="E10" s="74" t="s">
        <v>45</v>
      </c>
      <c r="F10" s="35">
        <v>0.4</v>
      </c>
      <c r="G10" s="112" t="s">
        <v>56</v>
      </c>
      <c r="H10" s="112"/>
      <c r="I10" s="112"/>
      <c r="J10" s="69" t="str">
        <f>IF(OR(E8="",E8&lt;0),"",E8-J8)</f>
        <v/>
      </c>
      <c r="K10" s="159"/>
      <c r="L10" s="160"/>
      <c r="M10" s="112" t="str">
        <f>IF(E8&gt;77700,"FRAIS REELS OBLIG.","BÉNÉFICE IMPOSABLE")</f>
        <v>BÉNÉFICE IMPOSABLE</v>
      </c>
      <c r="N10" s="112"/>
      <c r="O10" s="112"/>
      <c r="P10" s="69" t="str">
        <f>IF(AND(E8="",E6="Non"),"",IF(E8&lt;305,0,IF(E8&lt;=77700,E8-P8,"")))</f>
        <v/>
      </c>
      <c r="Q10" s="79"/>
      <c r="R10" s="157" t="str">
        <f>IF(E8&lt;=77700,"BÉNÉFICE IMPOSABLE*","FRAIS REELS OBLIG.")</f>
        <v>BÉNÉFICE IMPOSABLE*</v>
      </c>
      <c r="S10" s="157"/>
      <c r="T10" s="157"/>
      <c r="U10" s="157"/>
      <c r="V10" s="157"/>
      <c r="W10" s="157"/>
      <c r="X10" s="116" t="str">
        <f>IF(OR(E8="",E8&lt;0),"",IF(E8&lt;305,0,IF(OR(E8&lt;77700,E8=77700),E8-X8,"")))</f>
        <v/>
      </c>
      <c r="Y10" s="116"/>
      <c r="Z10"/>
      <c r="AA10" s="2"/>
    </row>
    <row r="11" spans="1:36" ht="12" customHeight="1" thickBot="1" x14ac:dyDescent="0.3">
      <c r="A11"/>
      <c r="B11"/>
      <c r="C11"/>
      <c r="D11"/>
      <c r="E11"/>
      <c r="F11" s="34">
        <v>0.45</v>
      </c>
      <c r="G11"/>
      <c r="H11"/>
      <c r="I11"/>
      <c r="J11"/>
      <c r="K11" s="152"/>
      <c r="L11" s="152"/>
      <c r="M11"/>
      <c r="N11"/>
      <c r="O11"/>
      <c r="P11"/>
      <c r="Q11" s="152"/>
      <c r="R11" s="158" t="str">
        <f>IF(E8&lt;=77700,"*Sauf option pour versement libératoire","")</f>
        <v>*Sauf option pour versement libératoire</v>
      </c>
      <c r="S11" s="158"/>
      <c r="T11" s="158"/>
      <c r="U11" s="158"/>
      <c r="V11" s="158"/>
      <c r="W11" s="158"/>
      <c r="X11"/>
      <c r="Y11"/>
      <c r="Z11"/>
    </row>
    <row r="12" spans="1:36" ht="30" customHeight="1" x14ac:dyDescent="0.25">
      <c r="A12" s="123" t="s">
        <v>6</v>
      </c>
      <c r="B12" s="125" t="s">
        <v>42</v>
      </c>
      <c r="C12" s="126"/>
      <c r="D12" s="155" t="s">
        <v>4</v>
      </c>
      <c r="E12" s="129">
        <v>0.5</v>
      </c>
      <c r="F12" s="34">
        <v>0.5</v>
      </c>
      <c r="G12" s="4"/>
      <c r="H12"/>
      <c r="I12" s="4"/>
      <c r="J12"/>
      <c r="K12" s="152"/>
      <c r="L12" s="152"/>
      <c r="M12" s="44"/>
      <c r="N12" s="28"/>
      <c r="O12" s="28"/>
      <c r="P12" s="28"/>
      <c r="Q12" s="152"/>
      <c r="R12" s="158"/>
      <c r="S12" s="158"/>
      <c r="T12" s="158"/>
      <c r="U12" s="158"/>
      <c r="V12" s="158"/>
      <c r="W12" s="158"/>
      <c r="X12"/>
      <c r="Y12"/>
      <c r="Z12"/>
      <c r="AA12" s="2"/>
    </row>
    <row r="13" spans="1:36" ht="27.6" customHeight="1" thickBot="1" x14ac:dyDescent="0.3">
      <c r="A13" s="124"/>
      <c r="B13" s="127"/>
      <c r="C13" s="128"/>
      <c r="D13" s="156"/>
      <c r="E13" s="130"/>
      <c r="F13" s="35">
        <v>0.55000000000000004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7"/>
      <c r="R13" s="76"/>
      <c r="S13" s="76"/>
      <c r="T13" s="76"/>
      <c r="U13" s="76"/>
      <c r="V13" s="76"/>
      <c r="W13" s="76"/>
      <c r="X13" s="76"/>
      <c r="Y13" s="76"/>
      <c r="Z13"/>
      <c r="AA13" s="2"/>
      <c r="AJ13" s="14"/>
    </row>
    <row r="14" spans="1:36" ht="11.25" customHeight="1" x14ac:dyDescent="0.25">
      <c r="A14"/>
      <c r="B14"/>
      <c r="C14"/>
      <c r="D14"/>
      <c r="E14"/>
      <c r="F14" s="36">
        <v>0.6</v>
      </c>
      <c r="G14"/>
      <c r="H14"/>
      <c r="I14"/>
      <c r="J14"/>
      <c r="K14"/>
      <c r="L14"/>
      <c r="M14"/>
      <c r="N14"/>
      <c r="O14"/>
      <c r="P14"/>
      <c r="Q14" s="77"/>
      <c r="R14"/>
      <c r="S14"/>
      <c r="T14"/>
      <c r="U14"/>
      <c r="V14"/>
      <c r="W14"/>
      <c r="X14"/>
      <c r="Y14"/>
      <c r="Z14"/>
      <c r="AA14" s="2"/>
    </row>
    <row r="15" spans="1:36" ht="24.75" customHeight="1" x14ac:dyDescent="0.25">
      <c r="A15" s="121" t="s">
        <v>41</v>
      </c>
      <c r="B15" s="121"/>
      <c r="C15" s="121"/>
      <c r="D15" s="122" t="str">
        <f>IF(E8=0,"",IF(E8&lt;17000,"70%",IF(E8&lt;26000,"53%","50%")))</f>
        <v/>
      </c>
      <c r="E15"/>
      <c r="F15" s="35">
        <v>0.65</v>
      </c>
      <c r="G15" s="16"/>
      <c r="H15" s="16"/>
      <c r="I15" s="17"/>
      <c r="J15" s="16"/>
      <c r="K15" s="152"/>
      <c r="L15" s="152"/>
      <c r="M15" s="16"/>
      <c r="N15" s="16"/>
      <c r="O15" s="17"/>
      <c r="P15" s="16"/>
      <c r="Q15" s="78"/>
      <c r="R15" s="39"/>
      <c r="S15" s="16"/>
      <c r="T15" s="16"/>
      <c r="U15" s="16"/>
      <c r="V15" s="16"/>
      <c r="W15" s="16"/>
      <c r="X15" s="19"/>
      <c r="Y15"/>
      <c r="Z15"/>
      <c r="AA15" s="2"/>
    </row>
    <row r="16" spans="1:36" ht="30" customHeight="1" x14ac:dyDescent="0.25">
      <c r="A16" s="121"/>
      <c r="B16" s="121"/>
      <c r="C16" s="121"/>
      <c r="D16" s="122"/>
      <c r="E16"/>
      <c r="F16" s="34">
        <v>0.7</v>
      </c>
      <c r="G16" s="114" t="s">
        <v>0</v>
      </c>
      <c r="H16" s="114"/>
      <c r="I16" s="2"/>
      <c r="J16" s="2"/>
      <c r="K16" s="152"/>
      <c r="L16" s="152"/>
      <c r="M16" s="114" t="s">
        <v>0</v>
      </c>
      <c r="N16" s="114"/>
      <c r="O16" s="18"/>
      <c r="P16"/>
      <c r="Q16" s="78"/>
      <c r="R16" s="39"/>
      <c r="S16" s="131" t="s">
        <v>10</v>
      </c>
      <c r="T16" s="131"/>
      <c r="U16" s="82"/>
      <c r="V16"/>
      <c r="W16"/>
      <c r="X16" s="75"/>
      <c r="Y16" s="75"/>
      <c r="Z16"/>
      <c r="AA16" s="2"/>
    </row>
    <row r="17" spans="1:27" ht="24.75" customHeight="1" x14ac:dyDescent="0.35">
      <c r="A17" s="121"/>
      <c r="B17" s="121"/>
      <c r="C17" s="121"/>
      <c r="D17" s="122"/>
      <c r="E17"/>
      <c r="F17" s="35">
        <v>0.75</v>
      </c>
      <c r="G17" s="111" t="s">
        <v>34</v>
      </c>
      <c r="H17" s="111"/>
      <c r="I17" s="26" t="str">
        <f>IF(AND(E8="",E6="Non"),"0% - 6,5%",IF(J10&lt;17597,"0%",IF(J10&gt;48391,"6,5%",A25)))</f>
        <v>0% - 6,5%</v>
      </c>
      <c r="J17" s="24">
        <f>IF(AND(E8="",E6="Non"),0,IF(AND(E6="Oui",J10&lt;32994),"Exonération",IF(AND(E6="Non",J10&lt;17597),"Exonération",IF(AND(E6="Oui",J10&gt;29421),(J10-29421)*I17,IF($J$10&lt;48391,(J10*I17),J10*0.0635)))))</f>
        <v>0</v>
      </c>
      <c r="K17" s="152"/>
      <c r="L17" s="152"/>
      <c r="M17" s="111" t="s">
        <v>39</v>
      </c>
      <c r="N17" s="111"/>
      <c r="O17" s="26" t="str">
        <f>IF(E8="","0% - 6,5%",IF(P10&lt;17597,"0%",IF(P10&gt;43705,"6,50%",A26)))</f>
        <v>0% - 6,5%</v>
      </c>
      <c r="P17" s="24" t="str">
        <f>IF(AND(E8="",E6="Non"),"",IF(AND(E6="Oui",P10&lt;32994),"Exonération",IF(AND(E6="Non",P10&lt;17597),"Exonération",IF(AND(E6="Oui",P10&gt;29421),(P10-29421)*O17,IF(P10&lt;48391,(P10*O17),P10*0.065)))))</f>
        <v/>
      </c>
      <c r="Q17" s="78"/>
      <c r="R17"/>
      <c r="S17" s="131" t="s">
        <v>33</v>
      </c>
      <c r="T17" s="131"/>
      <c r="U17" s="83"/>
      <c r="V17" s="46"/>
      <c r="W17" s="75"/>
      <c r="X17" s="75"/>
      <c r="Y17" s="75"/>
      <c r="Z17"/>
      <c r="AA17" s="2"/>
    </row>
    <row r="18" spans="1:27" ht="24" customHeight="1" thickBot="1" x14ac:dyDescent="0.45">
      <c r="A18" s="121"/>
      <c r="B18" s="121"/>
      <c r="C18" s="121"/>
      <c r="D18" s="122"/>
      <c r="E18" s="13"/>
      <c r="F18" s="34">
        <v>0.8</v>
      </c>
      <c r="G18" s="111" t="s">
        <v>35</v>
      </c>
      <c r="H18" s="111"/>
      <c r="I18" s="26" t="str">
        <f>IF(E8="","forfait / 0,30%",IF(J10&lt;=17597,"forfait",0.3%))</f>
        <v>forfait / 0,30%</v>
      </c>
      <c r="J18" s="24">
        <f>IF(AND(E8="",E6="Non"),0,IF(AND(E6="Oui",J10&lt;32994),"Exonération",IF($J$10="",0,IF($J$10&lt;17597,53,$J$10*0.003))))</f>
        <v>0</v>
      </c>
      <c r="K18" s="152"/>
      <c r="L18" s="152"/>
      <c r="M18" s="111" t="s">
        <v>35</v>
      </c>
      <c r="N18" s="111"/>
      <c r="O18" s="26" t="str">
        <f>IF(E8="","forfait / 0,30%",IF(P10&lt;=17597,"forfait",0.3%))</f>
        <v>forfait / 0,30%</v>
      </c>
      <c r="P18" s="25" t="str">
        <f>IF(AND(E6="Oui",P10&lt;32994),"Exonération",IF($P$10="","",IF(AND($P$10&lt;17597,E6="Non"),53,$P$10*0.003)))</f>
        <v/>
      </c>
      <c r="Q18" s="78"/>
      <c r="R18"/>
      <c r="S18" s="131" t="s">
        <v>11</v>
      </c>
      <c r="T18" s="131"/>
      <c r="U18" s="83"/>
      <c r="V18" s="84"/>
      <c r="W18" s="133" t="s">
        <v>43</v>
      </c>
      <c r="X18" s="133"/>
      <c r="Y18" s="133"/>
      <c r="Z18"/>
      <c r="AA18" s="2"/>
    </row>
    <row r="19" spans="1:27" ht="24" customHeight="1" thickTop="1" x14ac:dyDescent="0.4">
      <c r="A19" s="40"/>
      <c r="B19" s="40"/>
      <c r="C19" s="40"/>
      <c r="D19" s="41"/>
      <c r="E19"/>
      <c r="F19" s="35">
        <v>0.85</v>
      </c>
      <c r="G19" s="111" t="s">
        <v>5</v>
      </c>
      <c r="H19" s="111"/>
      <c r="I19" s="50" t="str">
        <f>IF(J10="","0% - 3,10%",IF(J10&lt;=48391,"0%",IF(AND(J10&lt;61589,J10&gt;48391),A24,"3,10%")))</f>
        <v>0% - 3,10%</v>
      </c>
      <c r="J19" s="24">
        <f>IF($J$10="",0,IF(AND(E6="Oui",J10&lt;32994),"Exonération",IF($J$10&lt;48391,"Exonération",J10*I19)))</f>
        <v>0</v>
      </c>
      <c r="K19" s="152"/>
      <c r="L19" s="152"/>
      <c r="M19" s="111" t="s">
        <v>5</v>
      </c>
      <c r="N19" s="111"/>
      <c r="O19" s="26" t="str">
        <f>IF(P10="","0% - 3,10%",IF(P10&lt;=48391,"0%",IF(AND(P10&lt;61589,P10&gt;48391),A23,"3,10%")))</f>
        <v>0% - 3,10%</v>
      </c>
      <c r="P19" s="25">
        <f>IF(P10="",0,IF(AND(E6="Oui",P10&lt;32994),"Exonération",IF(AND(E6="Oui",P10&gt;29421),(P10-29421)*O19,IF($P$10&lt;48391,"Exonération",P10*O19))))</f>
        <v>0</v>
      </c>
      <c r="Q19" s="78"/>
      <c r="R19"/>
      <c r="S19" s="131" t="s">
        <v>9</v>
      </c>
      <c r="T19" s="131"/>
      <c r="U19" s="83"/>
      <c r="V19" s="46"/>
      <c r="W19"/>
      <c r="X19" s="68">
        <v>0.214</v>
      </c>
      <c r="Y19"/>
      <c r="Z19"/>
      <c r="AA19" s="2"/>
    </row>
    <row r="20" spans="1:27" ht="26.25" customHeight="1" x14ac:dyDescent="0.4">
      <c r="A20" s="40"/>
      <c r="B20" s="40"/>
      <c r="C20" s="41"/>
      <c r="D20"/>
      <c r="E20" s="38"/>
      <c r="F20" s="34">
        <v>0.9</v>
      </c>
      <c r="G20" s="111" t="s">
        <v>36</v>
      </c>
      <c r="H20" s="111"/>
      <c r="I20" s="37">
        <v>0.10100000000000001</v>
      </c>
      <c r="J20" s="24">
        <f>IF(J10="",0,IF(AND(E6="Oui",J10&lt;32994),"Exonération",IF(AND(E6="Oui",J10&gt;29421),(J10-29421)*I20,IF(J10&lt;43992,J10*0.101,(J10-43992)*0.0187+4399))))</f>
        <v>0</v>
      </c>
      <c r="K20" s="152"/>
      <c r="L20" s="152"/>
      <c r="M20" s="111" t="s">
        <v>36</v>
      </c>
      <c r="N20" s="111"/>
      <c r="O20" s="37">
        <v>0.10100000000000001</v>
      </c>
      <c r="P20" s="25">
        <f>IF(AND(E6="Oui",P10&lt;32994),"Exonération",IF(AND(E6="Oui",E8&lt;77700,P10&gt;29421),(P10-29421)*O20,IF(E8="",0,IF(E8&gt;77700,0,P10*0.101))))</f>
        <v>0</v>
      </c>
      <c r="Q20" s="78"/>
      <c r="R20" s="39"/>
      <c r="S20"/>
      <c r="T20"/>
      <c r="U20" s="82"/>
      <c r="V20"/>
      <c r="W20"/>
      <c r="X20" s="65" t="str">
        <f>IF(AND(E8&gt;0,E10="Oui",E8&lt;77700),"↓","")</f>
        <v/>
      </c>
      <c r="Y20"/>
      <c r="Z20"/>
      <c r="AA20" s="2"/>
    </row>
    <row r="21" spans="1:27" ht="23.25" customHeight="1" x14ac:dyDescent="0.4">
      <c r="A21" s="40"/>
      <c r="B21" s="40"/>
      <c r="C21" s="40"/>
      <c r="D21" s="41"/>
      <c r="E21" s="38"/>
      <c r="F21" s="35">
        <v>0.95</v>
      </c>
      <c r="G21" s="111" t="s">
        <v>37</v>
      </c>
      <c r="H21" s="111"/>
      <c r="I21" s="67">
        <v>0.09</v>
      </c>
      <c r="J21" s="24">
        <f>IF(AND(E8="",E6="Non"),0,IF(J10&lt;=43992,J10*0.09,(3959.28+(J10-43992)*0.22)))</f>
        <v>0</v>
      </c>
      <c r="K21" s="152"/>
      <c r="L21" s="152"/>
      <c r="M21" s="111" t="s">
        <v>37</v>
      </c>
      <c r="N21" s="111"/>
      <c r="O21" s="67">
        <v>0.09</v>
      </c>
      <c r="P21" s="25" t="str">
        <f>IF(AND(E8="",E6="Non"),"",IF(E8&gt;77700,0,IF(P10&lt;=43992,P10*0.09,(3959.28+(P10-43992)*0.22))))</f>
        <v/>
      </c>
      <c r="Q21" s="78"/>
      <c r="R21" s="39"/>
      <c r="S21" s="131" t="s">
        <v>12</v>
      </c>
      <c r="T21" s="131"/>
      <c r="U21" s="82"/>
      <c r="V21"/>
      <c r="W21"/>
      <c r="X21" s="93" t="str">
        <f>IF(AND(E8&gt;0,E10="Oui"),"12,30%","")</f>
        <v/>
      </c>
      <c r="Y21" s="71"/>
      <c r="Z21"/>
    </row>
    <row r="22" spans="1:27" ht="24" customHeight="1" x14ac:dyDescent="0.4">
      <c r="A22" s="5"/>
      <c r="B22" s="38"/>
      <c r="C22" s="38"/>
      <c r="D22" s="38"/>
      <c r="E22" s="38"/>
      <c r="F22" s="34">
        <v>1</v>
      </c>
      <c r="G22" s="111" t="s">
        <v>46</v>
      </c>
      <c r="H22" s="111"/>
      <c r="I22" s="27" t="s">
        <v>3</v>
      </c>
      <c r="J22" s="24">
        <f>IF(AND(E8="",E6="Non"),0,IF(AND(E6="Oui",J10&lt;32994),"Exonération",IF(J10&lt;=16277,81,J10*0.005)))</f>
        <v>0</v>
      </c>
      <c r="K22" s="152"/>
      <c r="L22" s="152"/>
      <c r="M22" s="111" t="s">
        <v>46</v>
      </c>
      <c r="N22" s="111"/>
      <c r="O22" s="27" t="s">
        <v>3</v>
      </c>
      <c r="P22" s="25" t="str">
        <f>IF(AND(E8="",E6="Non"),"",IF(E8&gt;77700,0,IF(AND(E6="Oui",J10&lt;32994),"Exonération",IF(P10&lt;=16277,81,P10*0.005))))</f>
        <v/>
      </c>
      <c r="Q22" s="78"/>
      <c r="R22" s="39"/>
      <c r="S22" s="131" t="s">
        <v>2</v>
      </c>
      <c r="T22" s="131"/>
      <c r="U22" s="82"/>
      <c r="V22"/>
      <c r="W22" s="132" t="str">
        <f>IF(AND(E8&gt;0,E10="Oui",E8&lt;77700),"Taux réduit la 1e année d'activité","")</f>
        <v/>
      </c>
      <c r="X22" s="132"/>
      <c r="Y22" s="132"/>
      <c r="Z22"/>
    </row>
    <row r="23" spans="1:27" ht="30" customHeight="1" x14ac:dyDescent="0.3">
      <c r="A23" s="107" t="e">
        <f>(3.1%/(43992*30%))*($P$10-48391)</f>
        <v>#VALUE!</v>
      </c>
      <c r="B23" s="32"/>
      <c r="C23" s="32"/>
      <c r="D23" s="32"/>
      <c r="E23" s="32"/>
      <c r="F23" s="35"/>
      <c r="G23" s="94" t="s">
        <v>47</v>
      </c>
      <c r="H23" s="2"/>
      <c r="I23" s="2"/>
      <c r="J23" s="2"/>
      <c r="K23" s="152"/>
      <c r="L23" s="152"/>
      <c r="M23" s="104" t="str">
        <f>IF(E8&gt;77700,"","*exonération au delà de 67 ans")</f>
        <v>*exonération au delà de 67 ans</v>
      </c>
      <c r="N23" s="95"/>
      <c r="O23" s="95"/>
      <c r="P23" s="95"/>
      <c r="Q23" s="80"/>
      <c r="R23"/>
      <c r="S23"/>
      <c r="T23"/>
      <c r="U23" s="46"/>
      <c r="V23" s="46"/>
      <c r="W23" s="132"/>
      <c r="X23" s="132"/>
      <c r="Y23" s="132"/>
      <c r="Z23"/>
    </row>
    <row r="24" spans="1:27" ht="26.25" customHeight="1" x14ac:dyDescent="0.4">
      <c r="A24" s="107" t="e">
        <f>(3.1%/(43992*30%))*($J$10-48391)</f>
        <v>#VALUE!</v>
      </c>
      <c r="B24" s="32"/>
      <c r="C24" s="32"/>
      <c r="D24" s="32"/>
      <c r="E24" s="32"/>
      <c r="F24" s="15"/>
      <c r="G24" s="60" t="s">
        <v>40</v>
      </c>
      <c r="H24" s="60"/>
      <c r="I24" s="26">
        <v>9.7000000000000003E-2</v>
      </c>
      <c r="J24" s="24">
        <f>IF($J$10="",0,$J$10*0.097)</f>
        <v>0</v>
      </c>
      <c r="K24" s="152"/>
      <c r="L24" s="152"/>
      <c r="M24" s="60" t="s">
        <v>40</v>
      </c>
      <c r="N24" s="60"/>
      <c r="O24" s="26">
        <v>9.7000000000000003E-2</v>
      </c>
      <c r="P24" s="25">
        <f>IF(P10="",0,P10*0.097)</f>
        <v>0</v>
      </c>
      <c r="Q24" s="78"/>
      <c r="R24" s="39"/>
      <c r="S24" s="20"/>
      <c r="T24" s="20"/>
      <c r="U24" s="20"/>
      <c r="V24" s="20"/>
      <c r="W24" s="132"/>
      <c r="X24" s="132"/>
      <c r="Y24" s="132"/>
      <c r="Z24" s="63"/>
    </row>
    <row r="25" spans="1:27" ht="28.5" customHeight="1" x14ac:dyDescent="0.4">
      <c r="A25" s="108" t="e">
        <f>IF(AND(J10&gt;=17597,J10&lt;26395),(4%/(0.2*43992))*(J10-(0.4*43992)),(((6.5%-4%)/(0.5*43992))*(J10-(0.6*43992)))+4%)</f>
        <v>#VALUE!</v>
      </c>
      <c r="B25" s="32"/>
      <c r="C25" s="32"/>
      <c r="D25" s="32"/>
      <c r="E25" s="32"/>
      <c r="F25" s="15"/>
      <c r="G25" s="60" t="s">
        <v>7</v>
      </c>
      <c r="H25" s="60"/>
      <c r="I25" s="27" t="s">
        <v>3</v>
      </c>
      <c r="J25" s="24">
        <f>IF(AND(E8="",E6="Non"),0,110)</f>
        <v>0</v>
      </c>
      <c r="K25" s="152"/>
      <c r="L25" s="152"/>
      <c r="M25" s="60" t="s">
        <v>7</v>
      </c>
      <c r="N25" s="60"/>
      <c r="O25" s="27" t="s">
        <v>3</v>
      </c>
      <c r="P25" s="25">
        <f>IF(OR(E8&gt;77700,E8&lt;0),"",110)</f>
        <v>110</v>
      </c>
      <c r="Q25" s="78"/>
      <c r="R25" s="39"/>
      <c r="S25"/>
      <c r="T25"/>
      <c r="U25"/>
      <c r="V25"/>
      <c r="W25" s="132"/>
      <c r="X25" s="132"/>
      <c r="Y25" s="132"/>
      <c r="Z25" s="64"/>
    </row>
    <row r="26" spans="1:27" ht="30" customHeight="1" x14ac:dyDescent="0.3">
      <c r="A26" s="108" t="e">
        <f>(4%/(0.2*43992))*(P10-(0.4*43992))</f>
        <v>#VALUE!</v>
      </c>
      <c r="B26"/>
      <c r="C26" s="32"/>
      <c r="D26" s="32"/>
      <c r="E26" s="49"/>
      <c r="F26" s="15"/>
      <c r="G26"/>
      <c r="H26"/>
      <c r="I26"/>
      <c r="J26"/>
      <c r="K26" s="152"/>
      <c r="L26" s="152"/>
      <c r="M26" s="120"/>
      <c r="N26" s="120"/>
      <c r="O26" s="21"/>
      <c r="P26" s="70"/>
      <c r="Q26" s="78"/>
      <c r="R26"/>
      <c r="S26"/>
      <c r="T26"/>
      <c r="U26" s="46"/>
      <c r="V26" s="46"/>
      <c r="W26"/>
      <c r="X26"/>
      <c r="Y26"/>
      <c r="Z26" s="63"/>
    </row>
    <row r="27" spans="1:27" ht="29.25" customHeight="1" x14ac:dyDescent="0.3">
      <c r="A27" s="66"/>
      <c r="B27" s="32"/>
      <c r="C27" s="32"/>
      <c r="D27" s="32"/>
      <c r="E27" s="49"/>
      <c r="F27" s="48"/>
      <c r="G27" s="2"/>
      <c r="H27" s="115" t="s">
        <v>1</v>
      </c>
      <c r="I27" s="115"/>
      <c r="J27" s="69">
        <f>IF(E6="Oui",J24+J25+J21,IF(AND(J10&lt;17597,E6="Non"),J18+J20+J21+J22+J24+J25,IF(AND(E6="Non",J10&gt;=17597,J10&lt;48391),J17+J18+J20+J21+J22+J24+J25,J17+J18+J19+J20+J21+J22+J24+J25)))</f>
        <v>0</v>
      </c>
      <c r="K27" s="152"/>
      <c r="L27" s="152"/>
      <c r="M27"/>
      <c r="N27" s="115" t="s">
        <v>1</v>
      </c>
      <c r="O27" s="115"/>
      <c r="P27" s="69" t="e">
        <f>IF(E6="Oui",P24+P25+P21,IF(AND(E6="Non",P10&lt;17597),P18+P20+P21+P22+P24+P25,IF(AND(E6="Non",P10&gt;=17597,P10&lt;=48391),P17+P18+P20+P21+P22+P24+P25,P17+P18+P19+P20+P21+P22+P24+P25)))</f>
        <v>#VALUE!</v>
      </c>
      <c r="Q27" s="78"/>
      <c r="R27" s="39"/>
      <c r="S27"/>
      <c r="T27"/>
      <c r="U27" s="115" t="s">
        <v>1</v>
      </c>
      <c r="V27" s="115"/>
      <c r="W27" s="115"/>
      <c r="X27" s="116" t="str">
        <f>IF(E8="","",IF(AND(E10="Oui",E8&lt;77701),E8*12.3%,IF(E8&gt;77700,"",E8*21.4%)))</f>
        <v/>
      </c>
      <c r="Y27" s="116"/>
      <c r="Z27" s="63"/>
    </row>
    <row r="28" spans="1:27" ht="27.75" customHeight="1" x14ac:dyDescent="0.45">
      <c r="A28" s="5"/>
      <c r="B28" s="32"/>
      <c r="C28" s="32"/>
      <c r="D28" s="32"/>
      <c r="E28" s="119"/>
      <c r="F28" s="119"/>
      <c r="G28" s="2"/>
      <c r="H28" s="2"/>
      <c r="I28" s="2"/>
      <c r="J28" s="2"/>
      <c r="K28" s="152"/>
      <c r="L28" s="152"/>
      <c r="M28"/>
      <c r="N28"/>
      <c r="O28"/>
      <c r="P28"/>
      <c r="Q28" s="78"/>
      <c r="R28" s="39"/>
      <c r="S28" s="16"/>
      <c r="T28" s="16"/>
      <c r="U28" s="16"/>
      <c r="V28" s="16"/>
      <c r="W28"/>
      <c r="X28"/>
      <c r="Y28"/>
      <c r="Z28"/>
    </row>
    <row r="29" spans="1:27" ht="29.25" customHeight="1" x14ac:dyDescent="0.25">
      <c r="A29" s="2"/>
      <c r="B29" s="32"/>
      <c r="C29" s="32"/>
      <c r="D29" s="32"/>
      <c r="E29" s="48"/>
      <c r="F29" s="161" t="str">
        <f>IF(E6="Oui","En début d'activité, possibilité de moduler vos cotisations forfaitaires en estimant un bénéfice. Démarche à faire sur votre espace en ligne URSSAF, uniquement si vous pensez avoir une forte variation avec le revenu forfaitaire de 8 358 €","")</f>
        <v/>
      </c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92"/>
      <c r="S29" s="61"/>
      <c r="T29" s="61"/>
      <c r="U29" s="61"/>
      <c r="V29" s="61"/>
      <c r="W29" s="61"/>
      <c r="X29" s="62"/>
      <c r="Y29" s="62"/>
      <c r="Z29"/>
    </row>
    <row r="30" spans="1:27" ht="15.75" customHeight="1" x14ac:dyDescent="0.45">
      <c r="A30"/>
      <c r="B30" s="32"/>
      <c r="C30" s="32"/>
      <c r="D30" s="32"/>
      <c r="E30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92"/>
      <c r="S30" s="16"/>
      <c r="T30" s="16"/>
      <c r="U30" s="16"/>
      <c r="V30" s="16"/>
      <c r="W30" s="16"/>
      <c r="X30" s="16"/>
      <c r="Y30"/>
      <c r="Z30"/>
    </row>
    <row r="31" spans="1:27" ht="30.75" customHeight="1" x14ac:dyDescent="0.3">
      <c r="A31"/>
      <c r="B31"/>
      <c r="C31" s="22"/>
      <c r="D31" s="33"/>
      <c r="E31" s="32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92"/>
      <c r="S31"/>
      <c r="T31"/>
      <c r="U31"/>
      <c r="V31"/>
      <c r="W31"/>
      <c r="X31"/>
      <c r="Y31"/>
      <c r="Z31"/>
    </row>
    <row r="32" spans="1:27" ht="15" hidden="1" customHeight="1" x14ac:dyDescent="0.25">
      <c r="A32"/>
      <c r="B32"/>
      <c r="C32"/>
      <c r="D32" s="32"/>
      <c r="E32" s="32"/>
      <c r="F32" s="45"/>
      <c r="G32" s="53"/>
      <c r="H32" s="53"/>
      <c r="I32" s="2"/>
      <c r="J32" s="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3:25" ht="15" hidden="1" customHeight="1" x14ac:dyDescent="0.25">
      <c r="D33" s="89"/>
      <c r="E33" s="89"/>
      <c r="F33" s="89"/>
      <c r="G33" s="89"/>
      <c r="H33" s="89"/>
      <c r="S33" s="113"/>
      <c r="T33" s="113"/>
      <c r="U33" s="113"/>
      <c r="V33" s="113"/>
      <c r="W33" s="113"/>
      <c r="X33" s="109"/>
      <c r="Y33" s="109"/>
    </row>
    <row r="34" spans="3:25" ht="21" hidden="1" customHeight="1" x14ac:dyDescent="0.25">
      <c r="E34" s="89"/>
      <c r="F34" s="89"/>
      <c r="G34" s="89"/>
      <c r="H34" s="89"/>
      <c r="S34" s="113"/>
      <c r="T34" s="113"/>
      <c r="U34" s="113"/>
      <c r="V34" s="113"/>
      <c r="W34" s="113"/>
      <c r="X34" s="109"/>
      <c r="Y34" s="109"/>
    </row>
    <row r="35" spans="3:25" ht="21.75" hidden="1" customHeight="1" x14ac:dyDescent="0.25"/>
    <row r="36" spans="3:25" ht="1.5" hidden="1" customHeight="1" x14ac:dyDescent="0.25"/>
    <row r="37" spans="3:25" ht="27" hidden="1" customHeight="1" x14ac:dyDescent="0.25"/>
    <row r="38" spans="3:25" ht="24.75" hidden="1" customHeight="1" x14ac:dyDescent="0.25"/>
    <row r="39" spans="3:25" ht="21" hidden="1" customHeight="1" x14ac:dyDescent="0.25"/>
    <row r="40" spans="3:25" ht="19.5" hidden="1" customHeight="1" x14ac:dyDescent="0.25"/>
    <row r="41" spans="3:25" ht="27" hidden="1" customHeight="1" x14ac:dyDescent="0.25"/>
    <row r="42" spans="3:25" ht="27" hidden="1" customHeight="1" x14ac:dyDescent="0.25"/>
    <row r="43" spans="3:25" ht="27" hidden="1" customHeight="1" x14ac:dyDescent="0.25"/>
    <row r="44" spans="3:25" ht="27" hidden="1" customHeight="1" x14ac:dyDescent="0.25"/>
    <row r="45" spans="3:25" ht="27" hidden="1" customHeight="1" x14ac:dyDescent="0.25">
      <c r="D45" s="90"/>
    </row>
    <row r="46" spans="3:25" ht="27" hidden="1" customHeight="1" x14ac:dyDescent="0.25">
      <c r="D46" s="90"/>
    </row>
    <row r="47" spans="3:25" ht="27" hidden="1" customHeight="1" x14ac:dyDescent="0.25">
      <c r="C47" s="91"/>
      <c r="D47" s="90"/>
    </row>
    <row r="48" spans="3:25" ht="27" hidden="1" customHeight="1" x14ac:dyDescent="0.25">
      <c r="C48" s="91"/>
      <c r="D48" s="90"/>
    </row>
    <row r="49" spans="3:4" ht="27" hidden="1" customHeight="1" x14ac:dyDescent="0.25">
      <c r="C49" s="91"/>
      <c r="D49" s="90"/>
    </row>
    <row r="50" spans="3:4" ht="27" hidden="1" customHeight="1" x14ac:dyDescent="0.25">
      <c r="D50" s="90"/>
    </row>
    <row r="51" spans="3:4" ht="27" hidden="1" customHeight="1" x14ac:dyDescent="0.25">
      <c r="D51" s="90"/>
    </row>
    <row r="52" spans="3:4" ht="27" hidden="1" customHeight="1" x14ac:dyDescent="0.25">
      <c r="D52" s="90"/>
    </row>
    <row r="53" spans="3:4" ht="27" hidden="1" customHeight="1" x14ac:dyDescent="0.25">
      <c r="D53" s="90"/>
    </row>
    <row r="54" spans="3:4" ht="27" hidden="1" customHeight="1" x14ac:dyDescent="0.25">
      <c r="D54" s="90"/>
    </row>
    <row r="55" spans="3:4" ht="27" hidden="1" customHeight="1" x14ac:dyDescent="0.25">
      <c r="D55" s="90"/>
    </row>
    <row r="56" spans="3:4" ht="27" hidden="1" customHeight="1" x14ac:dyDescent="0.25">
      <c r="D56" s="90"/>
    </row>
    <row r="57" spans="3:4" ht="27" hidden="1" customHeight="1" x14ac:dyDescent="0.25">
      <c r="D57" s="90"/>
    </row>
    <row r="58" spans="3:4" ht="27" hidden="1" customHeight="1" x14ac:dyDescent="0.25">
      <c r="C58" s="91"/>
      <c r="D58" s="90"/>
    </row>
    <row r="59" spans="3:4" ht="27" hidden="1" customHeight="1" x14ac:dyDescent="0.25">
      <c r="C59" s="91"/>
      <c r="D59" s="90"/>
    </row>
    <row r="60" spans="3:4" ht="27" hidden="1" customHeight="1" x14ac:dyDescent="0.25">
      <c r="D60" s="90"/>
    </row>
    <row r="61" spans="3:4" ht="27" hidden="1" customHeight="1" x14ac:dyDescent="0.25">
      <c r="D61" s="90"/>
    </row>
    <row r="62" spans="3:4" ht="27" hidden="1" customHeight="1" x14ac:dyDescent="0.25">
      <c r="D62" s="90"/>
    </row>
    <row r="63" spans="3:4" ht="27" hidden="1" customHeight="1" x14ac:dyDescent="0.25">
      <c r="D63" s="90"/>
    </row>
    <row r="64" spans="3:4" ht="27" hidden="1" customHeight="1" x14ac:dyDescent="0.25">
      <c r="D64" s="90"/>
    </row>
    <row r="65" spans="3:4" ht="27" hidden="1" customHeight="1" x14ac:dyDescent="0.25">
      <c r="D65" s="90"/>
    </row>
    <row r="66" spans="3:4" ht="27" hidden="1" customHeight="1" x14ac:dyDescent="0.25">
      <c r="D66" s="90"/>
    </row>
    <row r="67" spans="3:4" ht="27" hidden="1" customHeight="1" x14ac:dyDescent="0.25">
      <c r="D67" s="90"/>
    </row>
    <row r="68" spans="3:4" ht="27" hidden="1" customHeight="1" x14ac:dyDescent="0.25">
      <c r="D68" s="90"/>
    </row>
    <row r="69" spans="3:4" ht="27" hidden="1" customHeight="1" x14ac:dyDescent="0.25">
      <c r="D69" s="90"/>
    </row>
    <row r="70" spans="3:4" ht="27" hidden="1" customHeight="1" x14ac:dyDescent="0.25">
      <c r="D70" s="90"/>
    </row>
    <row r="71" spans="3:4" ht="27" hidden="1" customHeight="1" x14ac:dyDescent="0.25"/>
    <row r="72" spans="3:4" ht="27" hidden="1" customHeight="1" x14ac:dyDescent="0.25"/>
    <row r="73" spans="3:4" ht="27" hidden="1" customHeight="1" x14ac:dyDescent="0.25">
      <c r="C73" s="92"/>
    </row>
    <row r="74" spans="3:4" ht="27" hidden="1" customHeight="1" x14ac:dyDescent="0.25">
      <c r="C74" s="92"/>
    </row>
    <row r="75" spans="3:4" ht="27" hidden="1" customHeight="1" x14ac:dyDescent="0.25">
      <c r="C75" s="92"/>
    </row>
    <row r="76" spans="3:4" ht="27" hidden="1" customHeight="1" x14ac:dyDescent="0.25">
      <c r="C76" s="92"/>
    </row>
    <row r="77" spans="3:4" ht="27" hidden="1" customHeight="1" x14ac:dyDescent="0.25"/>
    <row r="78" spans="3:4" ht="27" hidden="1" customHeight="1" x14ac:dyDescent="0.25"/>
    <row r="79" spans="3:4" ht="27" hidden="1" customHeight="1" x14ac:dyDescent="0.25"/>
    <row r="80" spans="3:4" ht="27" hidden="1" customHeight="1" x14ac:dyDescent="0.25"/>
    <row r="81" spans="4:4" ht="27" hidden="1" customHeight="1" x14ac:dyDescent="0.25"/>
    <row r="82" spans="4:4" ht="27" hidden="1" customHeight="1" x14ac:dyDescent="0.25"/>
    <row r="83" spans="4:4" ht="27" hidden="1" customHeight="1" x14ac:dyDescent="0.25">
      <c r="D83" s="90"/>
    </row>
  </sheetData>
  <sheetProtection algorithmName="SHA-512" hashValue="xj5ER0DEcxQJekk+R6rdvoFJmIV9xK+NPxUOCkfjCISwBTkySDZqtmftpMo+006xzmaL6NG0SijXOlyXjInsew==" saltValue="2ciRIpWunNIo/tTz11DSLA==" spinCount="100000" sheet="1" objects="1" formatColumns="0" formatRows="0" selectLockedCells="1"/>
  <mergeCells count="77">
    <mergeCell ref="F29:Q31"/>
    <mergeCell ref="K1:L2"/>
    <mergeCell ref="K11:L12"/>
    <mergeCell ref="K6:L7"/>
    <mergeCell ref="K24:L24"/>
    <mergeCell ref="K23:L23"/>
    <mergeCell ref="K22:L22"/>
    <mergeCell ref="K21:L21"/>
    <mergeCell ref="K20:L20"/>
    <mergeCell ref="K28:L28"/>
    <mergeCell ref="K27:L27"/>
    <mergeCell ref="K26:L26"/>
    <mergeCell ref="K25:L25"/>
    <mergeCell ref="D12:D13"/>
    <mergeCell ref="R8:W8"/>
    <mergeCell ref="R10:W10"/>
    <mergeCell ref="X8:Y8"/>
    <mergeCell ref="X10:Y10"/>
    <mergeCell ref="R11:W12"/>
    <mergeCell ref="K10:L10"/>
    <mergeCell ref="Q8:Q9"/>
    <mergeCell ref="Q11:Q12"/>
    <mergeCell ref="G2:J5"/>
    <mergeCell ref="M2:P5"/>
    <mergeCell ref="R2:Y5"/>
    <mergeCell ref="S19:T19"/>
    <mergeCell ref="G20:H20"/>
    <mergeCell ref="M16:N16"/>
    <mergeCell ref="S18:T18"/>
    <mergeCell ref="K19:L19"/>
    <mergeCell ref="K18:L18"/>
    <mergeCell ref="K17:L17"/>
    <mergeCell ref="K16:L16"/>
    <mergeCell ref="K15:L15"/>
    <mergeCell ref="K5:L5"/>
    <mergeCell ref="Q1:Q2"/>
    <mergeCell ref="Q3:Q4"/>
    <mergeCell ref="K3:L4"/>
    <mergeCell ref="S22:T22"/>
    <mergeCell ref="S17:T17"/>
    <mergeCell ref="S16:T16"/>
    <mergeCell ref="M22:N22"/>
    <mergeCell ref="W22:Y25"/>
    <mergeCell ref="W18:Y18"/>
    <mergeCell ref="S21:T21"/>
    <mergeCell ref="B8:C8"/>
    <mergeCell ref="G8:I8"/>
    <mergeCell ref="M8:O8"/>
    <mergeCell ref="B10:C10"/>
    <mergeCell ref="E28:F28"/>
    <mergeCell ref="G21:H21"/>
    <mergeCell ref="G17:H17"/>
    <mergeCell ref="M26:N26"/>
    <mergeCell ref="G18:H18"/>
    <mergeCell ref="M18:N18"/>
    <mergeCell ref="A15:C18"/>
    <mergeCell ref="D15:D18"/>
    <mergeCell ref="A12:A13"/>
    <mergeCell ref="B12:C13"/>
    <mergeCell ref="M19:N19"/>
    <mergeCell ref="E12:E13"/>
    <mergeCell ref="X33:Y34"/>
    <mergeCell ref="S9:W9"/>
    <mergeCell ref="M20:N20"/>
    <mergeCell ref="G10:I10"/>
    <mergeCell ref="M10:O10"/>
    <mergeCell ref="M9:O9"/>
    <mergeCell ref="M21:N21"/>
    <mergeCell ref="M17:N17"/>
    <mergeCell ref="S33:W34"/>
    <mergeCell ref="G19:H19"/>
    <mergeCell ref="G16:H16"/>
    <mergeCell ref="H27:I27"/>
    <mergeCell ref="N27:O27"/>
    <mergeCell ref="X27:Y27"/>
    <mergeCell ref="G22:H22"/>
    <mergeCell ref="U27:W27"/>
  </mergeCells>
  <conditionalFormatting sqref="B23 E31:E32 G32:H32 E33:H34">
    <cfRule type="containsText" dxfId="37" priority="83" stopIfTrue="1" operator="containsText" text="Selon">
      <formula>NOT(ISERROR(SEARCH("Selon",B23)))</formula>
    </cfRule>
  </conditionalFormatting>
  <conditionalFormatting sqref="D15">
    <cfRule type="containsText" dxfId="36" priority="99" operator="containsText" text="Attention">
      <formula>NOT(ISERROR(SEARCH("Attention",D15)))</formula>
    </cfRule>
    <cfRule type="containsText" dxfId="35" priority="100" operator="containsText" text="vos ">
      <formula>NOT(ISERROR(SEARCH("vos ",D15)))</formula>
    </cfRule>
    <cfRule type="containsText" dxfId="34" priority="101" operator="containsText" text="&quot;vos&quot;">
      <formula>NOT(ISERROR(SEARCH("""vos""",D15)))</formula>
    </cfRule>
  </conditionalFormatting>
  <conditionalFormatting sqref="I7 G7">
    <cfRule type="colorScale" priority="1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0:I10">
    <cfRule type="expression" dxfId="33" priority="95" stopIfTrue="1">
      <formula>AND($J$10&lt;$P$10,$J$10&lt;$X$10)</formula>
    </cfRule>
  </conditionalFormatting>
  <conditionalFormatting sqref="F29">
    <cfRule type="expression" dxfId="32" priority="2">
      <formula>$E$6="Oui"</formula>
    </cfRule>
  </conditionalFormatting>
  <conditionalFormatting sqref="H27">
    <cfRule type="expression" dxfId="31" priority="190" stopIfTrue="1">
      <formula>AND(#REF!&lt;#REF!,#REF!&lt;$X$27,#REF!&lt;$X$29)</formula>
    </cfRule>
  </conditionalFormatting>
  <conditionalFormatting sqref="I17:J22 O17:P22 X19 I24:J25 O24:O25">
    <cfRule type="expression" dxfId="30" priority="3">
      <formula>AND($E$8="",$E$6="Non")</formula>
    </cfRule>
  </conditionalFormatting>
  <conditionalFormatting sqref="J10 P10 X10:Y10">
    <cfRule type="top10" dxfId="29" priority="10" stopIfTrue="1" bottom="1" rank="1"/>
  </conditionalFormatting>
  <conditionalFormatting sqref="J27 P27 X27:Y27">
    <cfRule type="top10" dxfId="28" priority="189" stopIfTrue="1" bottom="1" rank="1"/>
  </conditionalFormatting>
  <conditionalFormatting sqref="M17:M18">
    <cfRule type="expression" dxfId="27" priority="18">
      <formula>$E$8&gt;77700</formula>
    </cfRule>
  </conditionalFormatting>
  <conditionalFormatting sqref="M10:O10">
    <cfRule type="expression" dxfId="26" priority="94" stopIfTrue="1">
      <formula>$P$10&lt;$J$10</formula>
    </cfRule>
  </conditionalFormatting>
  <conditionalFormatting sqref="M19:O19">
    <cfRule type="expression" dxfId="25" priority="23">
      <formula>$E$8&gt;77700</formula>
    </cfRule>
  </conditionalFormatting>
  <conditionalFormatting sqref="M7:P10 R7:Y10 M2">
    <cfRule type="expression" dxfId="24" priority="36" stopIfTrue="1">
      <formula>$E$8&gt;77700</formula>
    </cfRule>
  </conditionalFormatting>
  <conditionalFormatting sqref="M15:P15 S15:X15 M20:P22 S24:V24 M24:P25 O26:P26 N27 P27 U27:V27 S28:V28 S30:X30">
    <cfRule type="expression" dxfId="23" priority="98">
      <formula>$E$8&gt;77700</formula>
    </cfRule>
  </conditionalFormatting>
  <conditionalFormatting sqref="O16:O17">
    <cfRule type="expression" dxfId="22" priority="21">
      <formula>$E$8&gt;77700</formula>
    </cfRule>
  </conditionalFormatting>
  <conditionalFormatting sqref="O18">
    <cfRule type="expression" dxfId="21" priority="13" stopIfTrue="1">
      <formula>$E$8&gt;77700</formula>
    </cfRule>
  </conditionalFormatting>
  <conditionalFormatting sqref="P17:P19">
    <cfRule type="expression" dxfId="20" priority="15">
      <formula>$E$8&gt;77700</formula>
    </cfRule>
  </conditionalFormatting>
  <conditionalFormatting sqref="P24:P27 H27 J27 N27 U27:V27">
    <cfRule type="expression" dxfId="19" priority="108">
      <formula>AND($E$8="",$E$6="Non")</formula>
    </cfRule>
  </conditionalFormatting>
  <conditionalFormatting sqref="R10">
    <cfRule type="expression" dxfId="18" priority="93" stopIfTrue="1">
      <formula>$X$10&lt;$J$10</formula>
    </cfRule>
  </conditionalFormatting>
  <conditionalFormatting sqref="R2:Y5">
    <cfRule type="expression" dxfId="17" priority="5">
      <formula>$E$8&gt;77700</formula>
    </cfRule>
  </conditionalFormatting>
  <conditionalFormatting sqref="S16">
    <cfRule type="expression" dxfId="16" priority="12" stopIfTrue="1">
      <formula>$E$8&gt;70000</formula>
    </cfRule>
  </conditionalFormatting>
  <conditionalFormatting sqref="S29">
    <cfRule type="expression" dxfId="15" priority="62">
      <formula>$E$8&gt;70000</formula>
    </cfRule>
    <cfRule type="expression" dxfId="14" priority="63">
      <formula>$E$8=""</formula>
    </cfRule>
  </conditionalFormatting>
  <conditionalFormatting sqref="S33">
    <cfRule type="expression" dxfId="13" priority="65">
      <formula>$E$8&gt;70000</formula>
    </cfRule>
    <cfRule type="expression" dxfId="12" priority="66">
      <formula>$E$8=""</formula>
    </cfRule>
  </conditionalFormatting>
  <conditionalFormatting sqref="U27:V27 S33 S29">
    <cfRule type="expression" dxfId="11" priority="192" stopIfTrue="1">
      <formula>AND($X$27&lt;#REF!,$X$27&lt;#REF!)</formula>
    </cfRule>
  </conditionalFormatting>
  <conditionalFormatting sqref="V16:V22">
    <cfRule type="expression" dxfId="10" priority="4">
      <formula>$E$8=""</formula>
    </cfRule>
  </conditionalFormatting>
  <conditionalFormatting sqref="W18:Y18">
    <cfRule type="expression" dxfId="9" priority="1">
      <formula>$E$8=""</formula>
    </cfRule>
  </conditionalFormatting>
  <conditionalFormatting sqref="X8">
    <cfRule type="expression" dxfId="8" priority="45">
      <formula>$E$8&gt;77700</formula>
    </cfRule>
  </conditionalFormatting>
  <conditionalFormatting sqref="X10">
    <cfRule type="expression" dxfId="7" priority="42">
      <formula>$E$8&gt;77700</formula>
    </cfRule>
  </conditionalFormatting>
  <conditionalFormatting sqref="X19 U17:V19 W18 M16:N16 S17:S19 S21:S22 U23:V23 M26:N26 U26:V26">
    <cfRule type="expression" dxfId="6" priority="56" stopIfTrue="1">
      <formula>$E$8&gt;77700</formula>
    </cfRule>
  </conditionalFormatting>
  <conditionalFormatting sqref="X19">
    <cfRule type="expression" dxfId="5" priority="8">
      <formula>$E$10="Oui"</formula>
    </cfRule>
  </conditionalFormatting>
  <conditionalFormatting sqref="X20 W22 Z24 Z26:Z27">
    <cfRule type="expression" dxfId="4" priority="174" stopIfTrue="1">
      <formula>$U$27="Total 2e année*"</formula>
    </cfRule>
  </conditionalFormatting>
  <conditionalFormatting sqref="X21">
    <cfRule type="expression" dxfId="3" priority="9" stopIfTrue="1">
      <formula>$E$8&gt;70000</formula>
    </cfRule>
  </conditionalFormatting>
  <conditionalFormatting sqref="X27:Y27">
    <cfRule type="expression" dxfId="2" priority="6">
      <formula>$E$8=""</formula>
    </cfRule>
    <cfRule type="expression" dxfId="1" priority="7" stopIfTrue="1">
      <formula>$E$8&gt;77700</formula>
    </cfRule>
  </conditionalFormatting>
  <conditionalFormatting sqref="X33:Y34">
    <cfRule type="expression" dxfId="0" priority="60" stopIfTrue="1">
      <formula>$E$10="Non"</formula>
    </cfRule>
  </conditionalFormatting>
  <dataValidations xWindow="538" yWindow="346" count="4">
    <dataValidation type="list" allowBlank="1" showInputMessage="1" showErrorMessage="1" error="Cliquez sur Annuler et veuillez choisir dans la liste déroulante" prompt="Veuillez choisir dans la liste déroulante" sqref="E6" xr:uid="{00000000-0002-0000-0000-000000000000}">
      <formula1>$E$1:$E$2</formula1>
    </dataValidation>
    <dataValidation type="whole" allowBlank="1" showInputMessage="1" showErrorMessage="1" errorTitle="ATTENTION" error="LE MONTANT DE VOS RECETTES NE PEUT PAS ETRE NEGATIF._x000a__x000a_Cliquez sur &quot;ANNULER&quot; et recommencez avec un montant positif" sqref="E8" xr:uid="{00000000-0002-0000-0000-000001000000}">
      <formula1>0</formula1>
      <formula2>9.99999999999999E+60</formula2>
    </dataValidation>
    <dataValidation type="list" allowBlank="1" showInputMessage="1" showErrorMessage="1" sqref="E12:E13" xr:uid="{00000000-0002-0000-0000-000003000000}">
      <formula1>$F$3:$F$22</formula1>
    </dataValidation>
    <dataValidation type="list" allowBlank="1" showInputMessage="1" showErrorMessage="1" sqref="E10" xr:uid="{00000000-0002-0000-0000-000004000000}">
      <formula1>"Oui, Non"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A90332"/>
  </sheetPr>
  <dimension ref="B2:AC48"/>
  <sheetViews>
    <sheetView showGridLines="0" zoomScale="70" zoomScaleNormal="70" workbookViewId="0">
      <selection activeCell="T31" sqref="T31"/>
    </sheetView>
  </sheetViews>
  <sheetFormatPr baseColWidth="10" defaultRowHeight="15" x14ac:dyDescent="0.25"/>
  <cols>
    <col min="1" max="1" width="21" customWidth="1"/>
    <col min="2" max="2" width="17" bestFit="1" customWidth="1"/>
    <col min="3" max="3" width="17.42578125" customWidth="1"/>
    <col min="4" max="4" width="3.7109375" customWidth="1"/>
    <col min="5" max="5" width="19.5703125" customWidth="1"/>
    <col min="6" max="6" width="11.28515625" customWidth="1"/>
    <col min="7" max="7" width="17" bestFit="1" customWidth="1"/>
    <col min="8" max="8" width="17.42578125" customWidth="1"/>
    <col min="9" max="9" width="3.7109375" customWidth="1"/>
    <col min="10" max="10" width="19.5703125" customWidth="1"/>
    <col min="11" max="11" width="11.28515625" customWidth="1"/>
    <col min="12" max="12" width="17" customWidth="1"/>
    <col min="13" max="13" width="17.28515625" customWidth="1"/>
    <col min="14" max="14" width="3.5703125" customWidth="1"/>
    <col min="15" max="15" width="19.5703125" customWidth="1"/>
  </cols>
  <sheetData>
    <row r="2" spans="2:29" x14ac:dyDescent="0.25">
      <c r="W2" s="29"/>
      <c r="X2" s="29"/>
      <c r="Y2" s="29"/>
      <c r="Z2" s="29"/>
      <c r="AA2" s="29"/>
      <c r="AB2" s="29"/>
      <c r="AC2" s="29"/>
    </row>
    <row r="3" spans="2:29" x14ac:dyDescent="0.25">
      <c r="W3" s="29"/>
      <c r="X3" s="29"/>
      <c r="Y3" s="54" t="s">
        <v>13</v>
      </c>
      <c r="Z3" s="55">
        <f>SIMULATEUR!E8</f>
        <v>0</v>
      </c>
      <c r="AA3" s="55">
        <f>+SIMULATEUR!E8</f>
        <v>0</v>
      </c>
      <c r="AB3" s="29"/>
      <c r="AC3" s="29"/>
    </row>
    <row r="4" spans="2:29" x14ac:dyDescent="0.25">
      <c r="W4" s="29"/>
      <c r="X4" s="29"/>
      <c r="Y4" s="54" t="s">
        <v>14</v>
      </c>
      <c r="Z4" s="55" t="str">
        <f>SIMULATEUR!J10</f>
        <v/>
      </c>
      <c r="AA4" s="55" t="str">
        <f>+SIMULATEUR!X10</f>
        <v/>
      </c>
      <c r="AB4" s="29"/>
      <c r="AC4" s="29"/>
    </row>
    <row r="5" spans="2:29" ht="15.75" thickBot="1" x14ac:dyDescent="0.3">
      <c r="W5" s="29"/>
      <c r="X5" s="29"/>
      <c r="Y5" s="54" t="s">
        <v>18</v>
      </c>
      <c r="Z5" s="55" t="e">
        <f>SIMULATEUR!#REF!</f>
        <v>#REF!</v>
      </c>
      <c r="AA5" s="55" t="str">
        <f>IF(SIMULATEUR!X27="","",SIMULATEUR!X27*50%)</f>
        <v/>
      </c>
      <c r="AB5" s="29"/>
      <c r="AC5" s="29"/>
    </row>
    <row r="6" spans="2:29" ht="15" customHeight="1" thickTop="1" x14ac:dyDescent="0.25">
      <c r="B6" s="173" t="s">
        <v>38</v>
      </c>
      <c r="C6" s="174"/>
      <c r="D6" s="174"/>
      <c r="E6" s="175"/>
      <c r="F6" s="51"/>
      <c r="G6" s="173" t="s">
        <v>51</v>
      </c>
      <c r="H6" s="174"/>
      <c r="I6" s="174"/>
      <c r="J6" s="175"/>
      <c r="K6" s="172"/>
      <c r="L6" s="183" t="s">
        <v>44</v>
      </c>
      <c r="M6" s="184"/>
      <c r="N6" s="184"/>
      <c r="O6" s="185"/>
      <c r="W6" s="29"/>
      <c r="X6" s="29"/>
      <c r="Y6" s="56" t="s">
        <v>15</v>
      </c>
      <c r="Z6" s="57"/>
      <c r="AA6" s="57"/>
      <c r="AB6" s="29"/>
      <c r="AC6" s="29"/>
    </row>
    <row r="7" spans="2:29" ht="15" customHeight="1" x14ac:dyDescent="0.25">
      <c r="B7" s="176"/>
      <c r="C7" s="177"/>
      <c r="D7" s="177"/>
      <c r="E7" s="178"/>
      <c r="F7" s="51"/>
      <c r="G7" s="176"/>
      <c r="H7" s="177"/>
      <c r="I7" s="177"/>
      <c r="J7" s="178"/>
      <c r="K7" s="172"/>
      <c r="L7" s="186"/>
      <c r="M7" s="187"/>
      <c r="N7" s="187"/>
      <c r="O7" s="188"/>
      <c r="W7" s="29"/>
      <c r="X7" s="29"/>
      <c r="Y7" s="54" t="s">
        <v>16</v>
      </c>
      <c r="Z7" s="58" t="str">
        <f>IF(Z4="","",IF(Z4&lt;4569,61,Z4/75.68))</f>
        <v/>
      </c>
      <c r="AA7" s="58" t="str">
        <f>IF(AA4="","",AA4/75.68)</f>
        <v/>
      </c>
      <c r="AB7" s="29"/>
      <c r="AC7" s="29"/>
    </row>
    <row r="8" spans="2:29" ht="21" customHeight="1" x14ac:dyDescent="0.25">
      <c r="B8" s="176"/>
      <c r="C8" s="177"/>
      <c r="D8" s="177"/>
      <c r="E8" s="178"/>
      <c r="G8" s="176"/>
      <c r="H8" s="177"/>
      <c r="I8" s="177"/>
      <c r="J8" s="178"/>
      <c r="L8" s="186"/>
      <c r="M8" s="187"/>
      <c r="N8" s="187"/>
      <c r="O8" s="188"/>
      <c r="W8" s="29"/>
      <c r="X8" s="29"/>
      <c r="Y8" s="54" t="s">
        <v>17</v>
      </c>
      <c r="Z8" s="58" t="str">
        <f>IF(Z4="","",IF(Z4&lt;7946.4,0,Z4/7946.4))</f>
        <v/>
      </c>
      <c r="AA8" s="58" t="str">
        <f>IF(AA4="","",IF(AA4&lt;7946.4,0,AA4/7946.4))</f>
        <v/>
      </c>
      <c r="AB8" s="29"/>
      <c r="AC8" s="29"/>
    </row>
    <row r="9" spans="2:29" ht="24.75" customHeight="1" thickBot="1" x14ac:dyDescent="0.3">
      <c r="B9" s="179"/>
      <c r="C9" s="180"/>
      <c r="D9" s="180"/>
      <c r="E9" s="181"/>
      <c r="G9" s="179"/>
      <c r="H9" s="180"/>
      <c r="I9" s="180"/>
      <c r="J9" s="181"/>
      <c r="L9" s="189"/>
      <c r="M9" s="190"/>
      <c r="N9" s="190"/>
      <c r="O9" s="191"/>
      <c r="W9" s="29"/>
      <c r="X9" s="29"/>
      <c r="Y9" s="54"/>
      <c r="Z9" s="58"/>
      <c r="AA9" s="58"/>
      <c r="AB9" s="29"/>
      <c r="AC9" s="29"/>
    </row>
    <row r="10" spans="2:29" ht="15.75" thickTop="1" x14ac:dyDescent="0.25">
      <c r="W10" s="29"/>
      <c r="X10" s="29"/>
      <c r="Y10" s="54" t="s">
        <v>20</v>
      </c>
      <c r="Z10" s="58">
        <f>SIMULATEUR!J21/37</f>
        <v>0</v>
      </c>
      <c r="AA10" s="58">
        <f>'POINTS RETRAITE'!AA3*0.22*0.2/37</f>
        <v>0</v>
      </c>
      <c r="AB10" s="29"/>
      <c r="AC10" s="29"/>
    </row>
    <row r="11" spans="2:29" ht="15" customHeight="1" x14ac:dyDescent="0.25">
      <c r="B11" s="169" t="s">
        <v>22</v>
      </c>
      <c r="C11" s="169"/>
      <c r="E11" s="170">
        <f>SIMULATEUR!E8</f>
        <v>0</v>
      </c>
      <c r="G11" s="169" t="s">
        <v>22</v>
      </c>
      <c r="H11" s="169"/>
      <c r="J11" s="170">
        <f>SIMULATEUR!E8</f>
        <v>0</v>
      </c>
      <c r="L11" s="169" t="s">
        <v>22</v>
      </c>
      <c r="M11" s="169"/>
      <c r="O11" s="170">
        <f>SIMULATEUR!E8</f>
        <v>0</v>
      </c>
      <c r="W11" s="29"/>
      <c r="X11" s="29"/>
      <c r="Y11" s="54" t="s">
        <v>19</v>
      </c>
      <c r="Z11" s="58" t="e">
        <f>SIMULATEUR!#REF!</f>
        <v>#REF!</v>
      </c>
      <c r="AA11" s="59" t="s">
        <v>21</v>
      </c>
      <c r="AB11" s="29"/>
      <c r="AC11" s="29"/>
    </row>
    <row r="12" spans="2:29" x14ac:dyDescent="0.25">
      <c r="B12" s="169"/>
      <c r="C12" s="169"/>
      <c r="E12" s="170"/>
      <c r="G12" s="169"/>
      <c r="H12" s="169"/>
      <c r="J12" s="170"/>
      <c r="L12" s="169"/>
      <c r="M12" s="169"/>
      <c r="O12" s="170"/>
      <c r="W12" s="29"/>
      <c r="X12" s="29"/>
      <c r="Y12" s="29"/>
      <c r="Z12" s="29"/>
      <c r="AA12" s="29"/>
      <c r="AB12" s="29"/>
      <c r="AC12" s="29"/>
    </row>
    <row r="13" spans="2:29" x14ac:dyDescent="0.25">
      <c r="B13" s="52"/>
      <c r="C13" s="52"/>
      <c r="G13" s="52"/>
      <c r="H13" s="52"/>
      <c r="W13" s="29"/>
      <c r="X13" s="29"/>
      <c r="Y13" s="29"/>
      <c r="Z13" s="29"/>
      <c r="AA13" s="29"/>
      <c r="AB13" s="29"/>
      <c r="AC13" s="29"/>
    </row>
    <row r="14" spans="2:29" ht="15" customHeight="1" x14ac:dyDescent="0.25">
      <c r="B14" s="169" t="s">
        <v>24</v>
      </c>
      <c r="C14" s="169"/>
      <c r="E14" s="171">
        <f>SIMULATEUR!E12</f>
        <v>0.5</v>
      </c>
      <c r="G14" s="169" t="s">
        <v>25</v>
      </c>
      <c r="H14" s="169"/>
      <c r="J14" s="170" t="str">
        <f>SIMULATEUR!P8</f>
        <v/>
      </c>
      <c r="L14" s="169" t="s">
        <v>25</v>
      </c>
      <c r="M14" s="169"/>
      <c r="O14" s="170" t="str">
        <f>SIMULATEUR!X8</f>
        <v/>
      </c>
    </row>
    <row r="15" spans="2:29" ht="15" customHeight="1" x14ac:dyDescent="0.25">
      <c r="B15" s="169"/>
      <c r="C15" s="169"/>
      <c r="E15" s="171"/>
      <c r="G15" s="169"/>
      <c r="H15" s="169"/>
      <c r="J15" s="170"/>
      <c r="L15" s="169"/>
      <c r="M15" s="169"/>
      <c r="O15" s="170"/>
    </row>
    <row r="17" spans="2:15" x14ac:dyDescent="0.25">
      <c r="B17" s="169" t="s">
        <v>23</v>
      </c>
      <c r="C17" s="169"/>
      <c r="E17" s="170" t="str">
        <f>SIMULATEUR!J10</f>
        <v/>
      </c>
      <c r="G17" s="169" t="s">
        <v>23</v>
      </c>
      <c r="H17" s="169"/>
      <c r="J17" s="170" t="str">
        <f>SIMULATEUR!P10</f>
        <v/>
      </c>
      <c r="L17" s="169" t="s">
        <v>23</v>
      </c>
      <c r="M17" s="169"/>
      <c r="O17" s="170" t="str">
        <f>SIMULATEUR!X10</f>
        <v/>
      </c>
    </row>
    <row r="18" spans="2:15" x14ac:dyDescent="0.25">
      <c r="B18" s="169"/>
      <c r="C18" s="169"/>
      <c r="E18" s="170"/>
      <c r="G18" s="169"/>
      <c r="H18" s="169"/>
      <c r="J18" s="170"/>
      <c r="L18" s="169"/>
      <c r="M18" s="169"/>
      <c r="O18" s="170"/>
    </row>
    <row r="20" spans="2:15" ht="15" customHeight="1" x14ac:dyDescent="0.25">
      <c r="B20" s="169" t="s">
        <v>49</v>
      </c>
      <c r="C20" s="169"/>
      <c r="E20" s="170" t="str">
        <f>IF(SIMULATEUR!E8="","",SIMULATEUR!J20)</f>
        <v/>
      </c>
      <c r="G20" s="169" t="s">
        <v>49</v>
      </c>
      <c r="H20" s="169"/>
      <c r="J20" s="170" t="str">
        <f>IF(SIMULATEUR!E8="","",SIMULATEUR!P20)</f>
        <v/>
      </c>
      <c r="L20" s="169" t="s">
        <v>49</v>
      </c>
      <c r="M20" s="169"/>
      <c r="O20" s="170" t="str">
        <f>IF(SIMULATEUR!X27="","",SIMULATEUR!X27*29.8%)</f>
        <v/>
      </c>
    </row>
    <row r="21" spans="2:15" ht="15" customHeight="1" x14ac:dyDescent="0.25">
      <c r="B21" s="169"/>
      <c r="C21" s="169"/>
      <c r="E21" s="170"/>
      <c r="G21" s="169"/>
      <c r="H21" s="169"/>
      <c r="J21" s="170"/>
      <c r="L21" s="169"/>
      <c r="M21" s="169"/>
      <c r="O21" s="170"/>
    </row>
    <row r="23" spans="2:15" x14ac:dyDescent="0.25">
      <c r="B23" s="169" t="s">
        <v>50</v>
      </c>
      <c r="C23" s="169"/>
      <c r="E23" s="170" t="str">
        <f>IF(SIMULATEUR!E8="","",SIMULATEUR!J21)</f>
        <v/>
      </c>
      <c r="G23" s="169" t="s">
        <v>50</v>
      </c>
      <c r="H23" s="169"/>
      <c r="J23" s="170" t="str">
        <f>SIMULATEUR!P21</f>
        <v/>
      </c>
      <c r="L23" s="169" t="s">
        <v>50</v>
      </c>
      <c r="M23" s="169"/>
      <c r="O23" s="170" t="str">
        <f>IF(SIMULATEUR!X27="","",SIMULATEUR!X27*19.8%)</f>
        <v/>
      </c>
    </row>
    <row r="24" spans="2:15" x14ac:dyDescent="0.25">
      <c r="B24" s="169"/>
      <c r="C24" s="169"/>
      <c r="E24" s="170"/>
      <c r="G24" s="169"/>
      <c r="H24" s="169"/>
      <c r="J24" s="170"/>
      <c r="L24" s="169"/>
      <c r="M24" s="169"/>
      <c r="O24" s="170"/>
    </row>
    <row r="30" spans="2:15" ht="15" customHeight="1" x14ac:dyDescent="0.25">
      <c r="B30" s="166" t="s">
        <v>26</v>
      </c>
      <c r="C30" s="166"/>
      <c r="D30" s="96"/>
      <c r="E30" s="96"/>
      <c r="F30" s="96"/>
      <c r="G30" s="166" t="s">
        <v>26</v>
      </c>
      <c r="H30" s="166"/>
      <c r="I30" s="96"/>
      <c r="J30" s="96"/>
      <c r="K30" s="96"/>
      <c r="L30" s="166" t="s">
        <v>26</v>
      </c>
      <c r="M30" s="166"/>
      <c r="N30" s="96"/>
      <c r="O30" s="96"/>
    </row>
    <row r="31" spans="2:15" ht="15" customHeight="1" x14ac:dyDescent="0.25">
      <c r="B31" s="166"/>
      <c r="C31" s="166"/>
      <c r="D31" s="96"/>
      <c r="E31" s="96"/>
      <c r="F31" s="96"/>
      <c r="G31" s="166"/>
      <c r="H31" s="166"/>
      <c r="I31" s="96"/>
      <c r="J31" s="96"/>
      <c r="K31" s="96"/>
      <c r="L31" s="166"/>
      <c r="M31" s="166"/>
      <c r="N31" s="96"/>
      <c r="O31" s="96"/>
    </row>
    <row r="32" spans="2:15" ht="29.25" customHeight="1" x14ac:dyDescent="0.4">
      <c r="B32" s="168" t="s">
        <v>27</v>
      </c>
      <c r="C32" s="168"/>
      <c r="D32" s="96"/>
      <c r="E32" s="102" t="str">
        <f>IF(E17="","",IF(E17&lt;4731,61,E17/78.35))</f>
        <v/>
      </c>
      <c r="F32" s="96"/>
      <c r="G32" s="168" t="s">
        <v>27</v>
      </c>
      <c r="H32" s="168"/>
      <c r="I32" s="96"/>
      <c r="J32" s="102" t="str">
        <f>IF(J17="","",IF(J17&lt;4731,61,J17/78.35))</f>
        <v/>
      </c>
      <c r="K32" s="96"/>
      <c r="L32" s="168" t="s">
        <v>27</v>
      </c>
      <c r="M32" s="168"/>
      <c r="N32" s="96"/>
      <c r="O32" s="102" t="str">
        <f>IF($O$17="","",($O$20*24.8/29.8)/6.44)</f>
        <v/>
      </c>
    </row>
    <row r="33" spans="2:15" ht="29.25" customHeight="1" x14ac:dyDescent="0.4">
      <c r="B33" s="168" t="s">
        <v>28</v>
      </c>
      <c r="C33" s="168"/>
      <c r="D33" s="96"/>
      <c r="E33" s="102" t="str">
        <f>IF(E17="","",IF(E17&lt;8227.21,0,E17/8227.21))</f>
        <v/>
      </c>
      <c r="F33" s="96"/>
      <c r="G33" s="168" t="s">
        <v>28</v>
      </c>
      <c r="H33" s="168"/>
      <c r="I33" s="96"/>
      <c r="J33" s="102" t="str">
        <f>IF(J17="","",IF(J17&lt;8227.21,0,J17/8227.21))</f>
        <v/>
      </c>
      <c r="K33" s="96"/>
      <c r="L33" s="168" t="s">
        <v>28</v>
      </c>
      <c r="M33" s="168"/>
      <c r="N33" s="96"/>
      <c r="O33" s="102" t="str">
        <f>IF($O$17="","",($O$20*5/29.8)/153.84)</f>
        <v/>
      </c>
    </row>
    <row r="34" spans="2:15" ht="14.25" customHeight="1" x14ac:dyDescent="0.4">
      <c r="B34" s="97"/>
      <c r="C34" s="97"/>
      <c r="D34" s="96"/>
      <c r="E34" s="98"/>
      <c r="F34" s="96"/>
      <c r="G34" s="97"/>
      <c r="H34" s="97"/>
      <c r="I34" s="96"/>
      <c r="J34" s="98"/>
      <c r="K34" s="96"/>
      <c r="L34" s="97"/>
      <c r="M34" s="97"/>
      <c r="N34" s="96"/>
      <c r="O34" s="98"/>
    </row>
    <row r="35" spans="2:15" ht="41.25" customHeight="1" x14ac:dyDescent="0.25">
      <c r="B35" s="165" t="s">
        <v>31</v>
      </c>
      <c r="C35" s="165"/>
      <c r="D35" s="105"/>
      <c r="E35" s="164" t="str">
        <f>IF(E17="","",(E32+E33)*0.5794)</f>
        <v/>
      </c>
      <c r="F35" s="96"/>
      <c r="G35" s="165" t="s">
        <v>31</v>
      </c>
      <c r="H35" s="165"/>
      <c r="I35" s="105"/>
      <c r="J35" s="164" t="str">
        <f>IF(J17="","",(J32+J33)*0.5794)</f>
        <v/>
      </c>
      <c r="K35" s="96"/>
      <c r="L35" s="165" t="s">
        <v>31</v>
      </c>
      <c r="M35" s="165"/>
      <c r="N35" s="105"/>
      <c r="O35" s="164" t="str">
        <f>IF(O17="","",(O32+O33)*0.5794)</f>
        <v/>
      </c>
    </row>
    <row r="36" spans="2:15" ht="25.5" customHeight="1" x14ac:dyDescent="0.25">
      <c r="B36" s="165"/>
      <c r="C36" s="165"/>
      <c r="D36" s="105"/>
      <c r="E36" s="164"/>
      <c r="F36" s="96"/>
      <c r="G36" s="165"/>
      <c r="H36" s="165"/>
      <c r="I36" s="105"/>
      <c r="J36" s="164"/>
      <c r="K36" s="96"/>
      <c r="L36" s="165"/>
      <c r="M36" s="165"/>
      <c r="N36" s="105"/>
      <c r="O36" s="164"/>
    </row>
    <row r="37" spans="2:15" ht="25.5" customHeight="1" x14ac:dyDescent="0.25">
      <c r="B37" s="99"/>
      <c r="C37" s="99"/>
      <c r="D37" s="96"/>
      <c r="E37" s="100"/>
      <c r="F37" s="96"/>
      <c r="G37" s="99"/>
      <c r="H37" s="99"/>
      <c r="I37" s="96"/>
      <c r="J37" s="100"/>
      <c r="K37" s="96"/>
      <c r="L37" s="96"/>
      <c r="M37" s="96"/>
      <c r="N37" s="96"/>
      <c r="O37" s="100"/>
    </row>
    <row r="38" spans="2:15" x14ac:dyDescent="0.25">
      <c r="B38" s="166" t="s">
        <v>29</v>
      </c>
      <c r="C38" s="166"/>
      <c r="D38" s="96"/>
      <c r="E38" s="96"/>
      <c r="F38" s="96"/>
      <c r="G38" s="166" t="s">
        <v>29</v>
      </c>
      <c r="H38" s="166"/>
      <c r="I38" s="96"/>
      <c r="J38" s="96"/>
      <c r="K38" s="96"/>
      <c r="L38" s="166" t="s">
        <v>29</v>
      </c>
      <c r="M38" s="166"/>
      <c r="N38" s="96"/>
      <c r="O38" s="96"/>
    </row>
    <row r="39" spans="2:15" x14ac:dyDescent="0.25">
      <c r="B39" s="166"/>
      <c r="C39" s="166"/>
      <c r="D39" s="96"/>
      <c r="E39" s="96"/>
      <c r="F39" s="96"/>
      <c r="G39" s="166"/>
      <c r="H39" s="166"/>
      <c r="I39" s="96"/>
      <c r="J39" s="96"/>
      <c r="K39" s="96"/>
      <c r="L39" s="166"/>
      <c r="M39" s="166"/>
      <c r="N39" s="96"/>
      <c r="O39" s="96"/>
    </row>
    <row r="40" spans="2:15" ht="29.25" customHeight="1" x14ac:dyDescent="0.35">
      <c r="B40" s="167" t="s">
        <v>30</v>
      </c>
      <c r="C40" s="167"/>
      <c r="D40" s="96"/>
      <c r="E40" s="103" t="str">
        <f>IF(SIMULATEUR!E8="","",IF(SIMULATEUR!J21="Exonération",0,SIMULATEUR!J21/37))</f>
        <v/>
      </c>
      <c r="F40" s="96"/>
      <c r="G40" s="167" t="s">
        <v>30</v>
      </c>
      <c r="H40" s="167"/>
      <c r="I40" s="96"/>
      <c r="J40" s="103" t="str">
        <f>IF(SIMULATEUR!E8="","",IF(SIMULATEUR!P21="Exonération",0,SIMULATEUR!P21/37))</f>
        <v/>
      </c>
      <c r="K40" s="96"/>
      <c r="L40" s="167" t="s">
        <v>30</v>
      </c>
      <c r="M40" s="167"/>
      <c r="N40" s="96"/>
      <c r="O40" s="103" t="str">
        <f>IF(SIMULATEUR!E8="","",O23/42.42)</f>
        <v/>
      </c>
    </row>
    <row r="41" spans="2:15" x14ac:dyDescent="0.25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</row>
    <row r="42" spans="2:15" x14ac:dyDescent="0.25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</row>
    <row r="43" spans="2:15" x14ac:dyDescent="0.25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</row>
    <row r="44" spans="2:15" ht="15" customHeight="1" x14ac:dyDescent="0.25">
      <c r="B44" s="165" t="s">
        <v>32</v>
      </c>
      <c r="C44" s="165"/>
      <c r="D44" s="105"/>
      <c r="E44" s="164" t="str">
        <f>IF(E17="","",E40*2.63)</f>
        <v/>
      </c>
      <c r="F44" s="96"/>
      <c r="G44" s="165" t="s">
        <v>32</v>
      </c>
      <c r="H44" s="165"/>
      <c r="I44" s="105"/>
      <c r="J44" s="164" t="str">
        <f>IF(J17="","",J40*2.63)</f>
        <v/>
      </c>
      <c r="K44" s="96"/>
      <c r="L44" s="165" t="s">
        <v>32</v>
      </c>
      <c r="M44" s="165"/>
      <c r="N44" s="105"/>
      <c r="O44" s="164" t="str">
        <f>IF(O17="","",O40*2.63)</f>
        <v/>
      </c>
    </row>
    <row r="45" spans="2:15" ht="49.5" customHeight="1" x14ac:dyDescent="0.25">
      <c r="B45" s="165"/>
      <c r="C45" s="165"/>
      <c r="D45" s="105"/>
      <c r="E45" s="164"/>
      <c r="F45" s="96"/>
      <c r="G45" s="165"/>
      <c r="H45" s="165"/>
      <c r="I45" s="105"/>
      <c r="J45" s="164"/>
      <c r="K45" s="96"/>
      <c r="L45" s="165"/>
      <c r="M45" s="165"/>
      <c r="N45" s="105"/>
      <c r="O45" s="164"/>
    </row>
    <row r="47" spans="2:15" ht="54" customHeight="1" x14ac:dyDescent="0.25">
      <c r="B47" s="165" t="s">
        <v>48</v>
      </c>
      <c r="C47" s="165"/>
      <c r="D47" s="105"/>
      <c r="E47" s="106" t="str">
        <f>IF(E20="","",IF(SIMULATEUR!J10&lt;1586,0,IF(AND(SIMULATEUR!J10&gt;=1586,SIMULATEUR!J10&lt;3171),1,IF(AND(SIMULATEUR!J10&gt;=3171,SIMULATEUR!J10&lt;4757),2,IF(AND(SIMULATEUR!J10&gt;=4757,SIMULATEUR!J10&lt;6342),3,4)))))</f>
        <v/>
      </c>
      <c r="G47" s="165" t="s">
        <v>48</v>
      </c>
      <c r="H47" s="165"/>
      <c r="I47" s="105"/>
      <c r="J47" s="106" t="str">
        <f>IF(J20="","",IF(SIMULATEUR!P10&lt;1586,0,IF(AND(SIMULATEUR!P10&gt;=1586,SIMULATEUR!P10&lt;3171),1,IF(AND(SIMULATEUR!P10&gt;=3171,SIMULATEUR!P10&lt;4757),2,IF(AND(SIMULATEUR!P10&gt;=4757,SIMULATEUR!P10&lt;6342),3,4)))))</f>
        <v/>
      </c>
      <c r="L47" s="182" t="s">
        <v>48</v>
      </c>
      <c r="M47" s="182"/>
      <c r="N47" s="105"/>
      <c r="O47" s="106" t="str">
        <f>IF(O17="","",IF(SIMULATEUR!E8&lt;2421,0,IF(AND(SIMULATEUR!E8&gt;=2421,SIMULATEUR!E8&lt;4842),1,IF(AND(SIMULATEUR!E8&gt;=4842,SIMULATEUR!E8&lt;7263),2,IF(AND(SIMULATEUR!E8&gt;=7263,SIMULATEUR!E8&lt;9684),3,4)))))</f>
        <v/>
      </c>
    </row>
    <row r="48" spans="2:15" ht="15" customHeight="1" x14ac:dyDescent="0.25">
      <c r="E48" s="101"/>
      <c r="J48" s="101"/>
    </row>
  </sheetData>
  <sheetProtection algorithmName="SHA-512" hashValue="pfh6KTlk6yZZt3P3TnZzXm/HCjqYsMC753H4tvvrOGBSsQL94rZMwLg5FsXbImB1o+QNnghZkui1rUF9Fm35sw==" saltValue="Bsxag1tkE/l4noEGu4rAKA==" spinCount="100000" sheet="1" objects="1" selectLockedCells="1"/>
  <mergeCells count="64">
    <mergeCell ref="O23:O24"/>
    <mergeCell ref="G6:J9"/>
    <mergeCell ref="G11:H12"/>
    <mergeCell ref="J11:J12"/>
    <mergeCell ref="G14:H15"/>
    <mergeCell ref="J14:J15"/>
    <mergeCell ref="G17:H18"/>
    <mergeCell ref="J17:J18"/>
    <mergeCell ref="G20:H21"/>
    <mergeCell ref="J20:J21"/>
    <mergeCell ref="G23:H24"/>
    <mergeCell ref="J23:J24"/>
    <mergeCell ref="L20:M21"/>
    <mergeCell ref="O20:O21"/>
    <mergeCell ref="L6:O9"/>
    <mergeCell ref="L11:M12"/>
    <mergeCell ref="B47:C47"/>
    <mergeCell ref="L47:M47"/>
    <mergeCell ref="B23:C24"/>
    <mergeCell ref="E23:E24"/>
    <mergeCell ref="L23:M24"/>
    <mergeCell ref="G30:H31"/>
    <mergeCell ref="G32:H32"/>
    <mergeCell ref="G33:H33"/>
    <mergeCell ref="G35:H36"/>
    <mergeCell ref="J35:J36"/>
    <mergeCell ref="G38:H39"/>
    <mergeCell ref="G40:H40"/>
    <mergeCell ref="G44:H45"/>
    <mergeCell ref="J44:J45"/>
    <mergeCell ref="G47:H47"/>
    <mergeCell ref="B32:C32"/>
    <mergeCell ref="E14:E15"/>
    <mergeCell ref="B17:C18"/>
    <mergeCell ref="E17:E18"/>
    <mergeCell ref="K6:K7"/>
    <mergeCell ref="B20:C21"/>
    <mergeCell ref="E20:E21"/>
    <mergeCell ref="B6:E9"/>
    <mergeCell ref="B11:C12"/>
    <mergeCell ref="E11:E12"/>
    <mergeCell ref="B14:C15"/>
    <mergeCell ref="L14:M15"/>
    <mergeCell ref="L17:M18"/>
    <mergeCell ref="O11:O12"/>
    <mergeCell ref="O14:O15"/>
    <mergeCell ref="O17:O18"/>
    <mergeCell ref="B33:C33"/>
    <mergeCell ref="L30:M31"/>
    <mergeCell ref="L32:M32"/>
    <mergeCell ref="L33:M33"/>
    <mergeCell ref="B30:C31"/>
    <mergeCell ref="E44:E45"/>
    <mergeCell ref="L44:M45"/>
    <mergeCell ref="E35:E36"/>
    <mergeCell ref="B35:C36"/>
    <mergeCell ref="O44:O45"/>
    <mergeCell ref="O35:O36"/>
    <mergeCell ref="B38:C39"/>
    <mergeCell ref="L38:M39"/>
    <mergeCell ref="L35:M36"/>
    <mergeCell ref="B40:C40"/>
    <mergeCell ref="L40:M40"/>
    <mergeCell ref="B44:C4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SIMULATEUR</vt:lpstr>
      <vt:lpstr>POINTS RETRAITE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 Garnier</dc:creator>
  <cp:lastModifiedBy>Antoine Cotte</cp:lastModifiedBy>
  <dcterms:created xsi:type="dcterms:W3CDTF">2014-10-10T07:30:58Z</dcterms:created>
  <dcterms:modified xsi:type="dcterms:W3CDTF">2023-07-26T07:21:21Z</dcterms:modified>
</cp:coreProperties>
</file>